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TERRA\Desktop\Spartak-kurty-tenis\DPS\"/>
    </mc:Choice>
  </mc:AlternateContent>
  <xr:revisionPtr revIDLastSave="0" documentId="13_ncr:1_{40FB78FB-2BC0-427E-A661-4774976766DC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Rekapitulace stavby" sheetId="1" r:id="rId1"/>
    <sheet name="SO - 01 - Tenisový kurt" sheetId="2" r:id="rId2"/>
  </sheets>
  <definedNames>
    <definedName name="_xlnm._FilterDatabase" localSheetId="1" hidden="1">'SO - 01 - Tenisový kurt'!$C$132:$K$215</definedName>
    <definedName name="_xlnm.Print_Titles" localSheetId="0">'Rekapitulace stavby'!$92:$92</definedName>
    <definedName name="_xlnm.Print_Titles" localSheetId="1">'SO - 01 - Tenisový kurt'!$132:$132</definedName>
    <definedName name="_xlnm.Print_Area" localSheetId="0">'Rekapitulace stavby'!$D$4:$AO$76,'Rekapitulace stavby'!$C$82:$AQ$96</definedName>
    <definedName name="_xlnm.Print_Area" localSheetId="1">'SO - 01 - Tenisový kurt'!$C$4:$J$76,'SO - 01 - Tenisový kurt'!$C$82:$J$114,'SO - 01 - Tenisový kurt'!$C$120:$J$215</definedName>
  </definedNames>
  <calcPr calcId="181029"/>
</workbook>
</file>

<file path=xl/calcChain.xml><?xml version="1.0" encoding="utf-8"?>
<calcChain xmlns="http://schemas.openxmlformats.org/spreadsheetml/2006/main">
  <c r="P136" i="2" l="1"/>
  <c r="R136" i="2"/>
  <c r="T136" i="2"/>
  <c r="P137" i="2"/>
  <c r="R137" i="2"/>
  <c r="T137" i="2"/>
  <c r="P138" i="2"/>
  <c r="R138" i="2"/>
  <c r="T138" i="2"/>
  <c r="P139" i="2"/>
  <c r="R139" i="2"/>
  <c r="T139" i="2"/>
  <c r="P143" i="2"/>
  <c r="R143" i="2"/>
  <c r="T143" i="2"/>
  <c r="P146" i="2"/>
  <c r="R146" i="2"/>
  <c r="T146" i="2"/>
  <c r="P148" i="2"/>
  <c r="R148" i="2"/>
  <c r="T148" i="2"/>
  <c r="P150" i="2"/>
  <c r="R150" i="2"/>
  <c r="T150" i="2"/>
  <c r="P151" i="2"/>
  <c r="R151" i="2"/>
  <c r="T151" i="2"/>
  <c r="P159" i="2"/>
  <c r="R159" i="2"/>
  <c r="T159" i="2"/>
  <c r="P161" i="2"/>
  <c r="R161" i="2"/>
  <c r="T161" i="2"/>
  <c r="P164" i="2"/>
  <c r="R164" i="2"/>
  <c r="T164" i="2"/>
  <c r="P165" i="2"/>
  <c r="R165" i="2"/>
  <c r="T165" i="2"/>
  <c r="P171" i="2"/>
  <c r="R171" i="2"/>
  <c r="T171" i="2"/>
  <c r="P172" i="2"/>
  <c r="R172" i="2"/>
  <c r="T172" i="2"/>
  <c r="P173" i="2"/>
  <c r="R173" i="2"/>
  <c r="T173" i="2"/>
  <c r="P174" i="2"/>
  <c r="R174" i="2"/>
  <c r="T174" i="2"/>
  <c r="P177" i="2"/>
  <c r="R177" i="2"/>
  <c r="T177" i="2"/>
  <c r="P181" i="2"/>
  <c r="R181" i="2"/>
  <c r="T181" i="2"/>
  <c r="P182" i="2"/>
  <c r="R182" i="2"/>
  <c r="T182" i="2"/>
  <c r="P183" i="2"/>
  <c r="R183" i="2"/>
  <c r="T183" i="2"/>
  <c r="P184" i="2"/>
  <c r="R184" i="2"/>
  <c r="T184" i="2"/>
  <c r="P187" i="2"/>
  <c r="R187" i="2"/>
  <c r="T187" i="2"/>
  <c r="P188" i="2"/>
  <c r="R188" i="2"/>
  <c r="T188" i="2"/>
  <c r="P189" i="2"/>
  <c r="P190" i="2"/>
  <c r="R190" i="2"/>
  <c r="R189" i="2" s="1"/>
  <c r="T190" i="2"/>
  <c r="T189" i="2" s="1"/>
  <c r="P191" i="2"/>
  <c r="R191" i="2"/>
  <c r="T191" i="2"/>
  <c r="P192" i="2"/>
  <c r="R192" i="2"/>
  <c r="T192" i="2"/>
  <c r="P195" i="2"/>
  <c r="R195" i="2"/>
  <c r="T195" i="2"/>
  <c r="P196" i="2"/>
  <c r="R196" i="2"/>
  <c r="T196" i="2"/>
  <c r="P197" i="2"/>
  <c r="R197" i="2"/>
  <c r="T197" i="2"/>
  <c r="P198" i="2"/>
  <c r="R198" i="2"/>
  <c r="T198" i="2"/>
  <c r="P200" i="2"/>
  <c r="R200" i="2"/>
  <c r="T200" i="2"/>
  <c r="P202" i="2"/>
  <c r="R202" i="2"/>
  <c r="T202" i="2"/>
  <c r="P204" i="2"/>
  <c r="R204" i="2"/>
  <c r="T204" i="2"/>
  <c r="P205" i="2"/>
  <c r="R205" i="2"/>
  <c r="T205" i="2"/>
  <c r="P206" i="2"/>
  <c r="R206" i="2"/>
  <c r="T206" i="2"/>
  <c r="P209" i="2"/>
  <c r="P208" i="2" s="1"/>
  <c r="P207" i="2" s="1"/>
  <c r="R209" i="2"/>
  <c r="R208" i="2" s="1"/>
  <c r="R207" i="2" s="1"/>
  <c r="T209" i="2"/>
  <c r="T208" i="2" s="1"/>
  <c r="T207" i="2" s="1"/>
  <c r="P210" i="2"/>
  <c r="R210" i="2"/>
  <c r="P211" i="2"/>
  <c r="R211" i="2"/>
  <c r="T211" i="2"/>
  <c r="T210" i="2" s="1"/>
  <c r="R212" i="2"/>
  <c r="T212" i="2"/>
  <c r="P213" i="2"/>
  <c r="P212" i="2" s="1"/>
  <c r="R213" i="2"/>
  <c r="T213" i="2"/>
  <c r="P215" i="2"/>
  <c r="P214" i="2" s="1"/>
  <c r="R215" i="2"/>
  <c r="R214" i="2" s="1"/>
  <c r="T215" i="2"/>
  <c r="T214" i="2" s="1"/>
  <c r="H203" i="2" l="1"/>
  <c r="H199" i="2"/>
  <c r="J190" i="2"/>
  <c r="BE190" i="2" s="1"/>
  <c r="BF190" i="2"/>
  <c r="BG190" i="2"/>
  <c r="BH190" i="2"/>
  <c r="BI190" i="2"/>
  <c r="BK190" i="2"/>
  <c r="H186" i="2"/>
  <c r="H185" i="2"/>
  <c r="H179" i="2"/>
  <c r="H176" i="2"/>
  <c r="H175" i="2"/>
  <c r="H168" i="2"/>
  <c r="H167" i="2"/>
  <c r="H166" i="2"/>
  <c r="J165" i="2"/>
  <c r="H163" i="2"/>
  <c r="H162" i="2"/>
  <c r="H160" i="2"/>
  <c r="H144" i="2"/>
  <c r="H142" i="2"/>
  <c r="H141" i="2"/>
  <c r="H157" i="2"/>
  <c r="H155" i="2"/>
  <c r="H154" i="2"/>
  <c r="H153" i="2"/>
  <c r="H152" i="2"/>
  <c r="H149" i="2"/>
  <c r="H147" i="2"/>
  <c r="H145" i="2"/>
  <c r="H140" i="2"/>
  <c r="J137" i="2"/>
  <c r="BE137" i="2" s="1"/>
  <c r="BF137" i="2"/>
  <c r="BG137" i="2"/>
  <c r="BH137" i="2"/>
  <c r="BI137" i="2"/>
  <c r="BK137" i="2"/>
  <c r="J37" i="2"/>
  <c r="J36" i="2"/>
  <c r="AY95" i="1" s="1"/>
  <c r="J35" i="2"/>
  <c r="AX95" i="1" s="1"/>
  <c r="BI215" i="2"/>
  <c r="BH215" i="2"/>
  <c r="BG215" i="2"/>
  <c r="BF215" i="2"/>
  <c r="BI213" i="2"/>
  <c r="BH213" i="2"/>
  <c r="BG213" i="2"/>
  <c r="BF213" i="2"/>
  <c r="BI211" i="2"/>
  <c r="BH211" i="2"/>
  <c r="BG211" i="2"/>
  <c r="BF211" i="2"/>
  <c r="BI209" i="2"/>
  <c r="BH209" i="2"/>
  <c r="BG209" i="2"/>
  <c r="BF209" i="2"/>
  <c r="BI206" i="2"/>
  <c r="BH206" i="2"/>
  <c r="BG206" i="2"/>
  <c r="BF206" i="2"/>
  <c r="BI205" i="2"/>
  <c r="BH205" i="2"/>
  <c r="BG205" i="2"/>
  <c r="BF205" i="2"/>
  <c r="BI204" i="2"/>
  <c r="BH204" i="2"/>
  <c r="BG204" i="2"/>
  <c r="BF204" i="2"/>
  <c r="BI203" i="2"/>
  <c r="BH203" i="2"/>
  <c r="BG203" i="2"/>
  <c r="BF203" i="2"/>
  <c r="BI202" i="2"/>
  <c r="BH202" i="2"/>
  <c r="BG202" i="2"/>
  <c r="BF202" i="2"/>
  <c r="BI200" i="2"/>
  <c r="BH200" i="2"/>
  <c r="BG200" i="2"/>
  <c r="BF200" i="2"/>
  <c r="BI199" i="2"/>
  <c r="BH199" i="2"/>
  <c r="BG199" i="2"/>
  <c r="BF199" i="2"/>
  <c r="BI198" i="2"/>
  <c r="BH198" i="2"/>
  <c r="BG198" i="2"/>
  <c r="BF198" i="2"/>
  <c r="BI197" i="2"/>
  <c r="BH197" i="2"/>
  <c r="BG197" i="2"/>
  <c r="BF197" i="2"/>
  <c r="BI196" i="2"/>
  <c r="BH196" i="2"/>
  <c r="BG196" i="2"/>
  <c r="BF196" i="2"/>
  <c r="BI195" i="2"/>
  <c r="BH195" i="2"/>
  <c r="BG195" i="2"/>
  <c r="BF195" i="2"/>
  <c r="BI192" i="2"/>
  <c r="BH192" i="2"/>
  <c r="BG192" i="2"/>
  <c r="BF192" i="2"/>
  <c r="BI188" i="2"/>
  <c r="BH188" i="2"/>
  <c r="BG188" i="2"/>
  <c r="BF188" i="2"/>
  <c r="BI187" i="2"/>
  <c r="BH187" i="2"/>
  <c r="BG187" i="2"/>
  <c r="BF187" i="2"/>
  <c r="BI186" i="2"/>
  <c r="BH186" i="2"/>
  <c r="BG186" i="2"/>
  <c r="BF186" i="2"/>
  <c r="BI185" i="2"/>
  <c r="BH185" i="2"/>
  <c r="BG185" i="2"/>
  <c r="BF185" i="2"/>
  <c r="BI184" i="2"/>
  <c r="BH184" i="2"/>
  <c r="BG184" i="2"/>
  <c r="BF184" i="2"/>
  <c r="BI183" i="2"/>
  <c r="BH183" i="2"/>
  <c r="BG183" i="2"/>
  <c r="BF183" i="2"/>
  <c r="BI182" i="2"/>
  <c r="BH182" i="2"/>
  <c r="BG182" i="2"/>
  <c r="BF182" i="2"/>
  <c r="BI181" i="2"/>
  <c r="BH181" i="2"/>
  <c r="BG181" i="2"/>
  <c r="BF181" i="2"/>
  <c r="BI179" i="2"/>
  <c r="BH179" i="2"/>
  <c r="BG179" i="2"/>
  <c r="BF179" i="2"/>
  <c r="BI177" i="2"/>
  <c r="BH177" i="2"/>
  <c r="BG177" i="2"/>
  <c r="BF177" i="2"/>
  <c r="BI176" i="2"/>
  <c r="BH176" i="2"/>
  <c r="BG176" i="2"/>
  <c r="BF176" i="2"/>
  <c r="BI175" i="2"/>
  <c r="BH175" i="2"/>
  <c r="BG175" i="2"/>
  <c r="BF175" i="2"/>
  <c r="BI174" i="2"/>
  <c r="BH174" i="2"/>
  <c r="BG174" i="2"/>
  <c r="BF174" i="2"/>
  <c r="BI173" i="2"/>
  <c r="BH173" i="2"/>
  <c r="BG173" i="2"/>
  <c r="BF173" i="2"/>
  <c r="BI172" i="2"/>
  <c r="BH172" i="2"/>
  <c r="BG172" i="2"/>
  <c r="BF172" i="2"/>
  <c r="BI171" i="2"/>
  <c r="BH171" i="2"/>
  <c r="BG171" i="2"/>
  <c r="BF171" i="2"/>
  <c r="BI168" i="2"/>
  <c r="BH168" i="2"/>
  <c r="BG168" i="2"/>
  <c r="BF168" i="2"/>
  <c r="BI167" i="2"/>
  <c r="BH167" i="2"/>
  <c r="BG167" i="2"/>
  <c r="BF167" i="2"/>
  <c r="BI166" i="2"/>
  <c r="BH166" i="2"/>
  <c r="BG166" i="2"/>
  <c r="BF166" i="2"/>
  <c r="BI165" i="2"/>
  <c r="BH165" i="2"/>
  <c r="BG165" i="2"/>
  <c r="BF165" i="2"/>
  <c r="BI164" i="2"/>
  <c r="BH164" i="2"/>
  <c r="BG164" i="2"/>
  <c r="BF164" i="2"/>
  <c r="BI163" i="2"/>
  <c r="BH163" i="2"/>
  <c r="BG163" i="2"/>
  <c r="BF163" i="2"/>
  <c r="BI162" i="2"/>
  <c r="BH162" i="2"/>
  <c r="BG162" i="2"/>
  <c r="BF162" i="2"/>
  <c r="BI161" i="2"/>
  <c r="BH161" i="2"/>
  <c r="BG161" i="2"/>
  <c r="BF161" i="2"/>
  <c r="BI160" i="2"/>
  <c r="BH160" i="2"/>
  <c r="BG160" i="2"/>
  <c r="BF160" i="2"/>
  <c r="BI159" i="2"/>
  <c r="BH159" i="2"/>
  <c r="BG159" i="2"/>
  <c r="BF159" i="2"/>
  <c r="BI157" i="2"/>
  <c r="BH157" i="2"/>
  <c r="BG157" i="2"/>
  <c r="BF157" i="2"/>
  <c r="BI155" i="2"/>
  <c r="BH155" i="2"/>
  <c r="BG155" i="2"/>
  <c r="BF155" i="2"/>
  <c r="BI154" i="2"/>
  <c r="BH154" i="2"/>
  <c r="BG154" i="2"/>
  <c r="BF154" i="2"/>
  <c r="BI153" i="2"/>
  <c r="BH153" i="2"/>
  <c r="BG153" i="2"/>
  <c r="BF153" i="2"/>
  <c r="BI152" i="2"/>
  <c r="BH152" i="2"/>
  <c r="BG152" i="2"/>
  <c r="BF152" i="2"/>
  <c r="BI151" i="2"/>
  <c r="BH151" i="2"/>
  <c r="BG151" i="2"/>
  <c r="BF151" i="2"/>
  <c r="BI150" i="2"/>
  <c r="BH150" i="2"/>
  <c r="BG150" i="2"/>
  <c r="BF150" i="2"/>
  <c r="BI149" i="2"/>
  <c r="BH149" i="2"/>
  <c r="BG149" i="2"/>
  <c r="BF149" i="2"/>
  <c r="BI148" i="2"/>
  <c r="BH148" i="2"/>
  <c r="BG148" i="2"/>
  <c r="BF148" i="2"/>
  <c r="BI147" i="2"/>
  <c r="BH147" i="2"/>
  <c r="BG147" i="2"/>
  <c r="BF147" i="2"/>
  <c r="BI146" i="2"/>
  <c r="BH146" i="2"/>
  <c r="BG146" i="2"/>
  <c r="BF146" i="2"/>
  <c r="BI145" i="2"/>
  <c r="BH145" i="2"/>
  <c r="BG145" i="2"/>
  <c r="BF145" i="2"/>
  <c r="BI144" i="2"/>
  <c r="BH144" i="2"/>
  <c r="BG144" i="2"/>
  <c r="BF144" i="2"/>
  <c r="BI143" i="2"/>
  <c r="BH143" i="2"/>
  <c r="BG143" i="2"/>
  <c r="BF143" i="2"/>
  <c r="BI142" i="2"/>
  <c r="BH142" i="2"/>
  <c r="BG142" i="2"/>
  <c r="BF142" i="2"/>
  <c r="BI141" i="2"/>
  <c r="BH141" i="2"/>
  <c r="BG141" i="2"/>
  <c r="BF141" i="2"/>
  <c r="BI140" i="2"/>
  <c r="BH140" i="2"/>
  <c r="BG140" i="2"/>
  <c r="BF140" i="2"/>
  <c r="BI139" i="2"/>
  <c r="BH139" i="2"/>
  <c r="BG139" i="2"/>
  <c r="BF139" i="2"/>
  <c r="BI138" i="2"/>
  <c r="BH138" i="2"/>
  <c r="BG138" i="2"/>
  <c r="BF138" i="2"/>
  <c r="BI136" i="2"/>
  <c r="BH136" i="2"/>
  <c r="BG136" i="2"/>
  <c r="BF136" i="2"/>
  <c r="F127" i="2"/>
  <c r="E125" i="2"/>
  <c r="F89" i="2"/>
  <c r="E87" i="2"/>
  <c r="J18" i="2"/>
  <c r="E18" i="2"/>
  <c r="F130" i="2" s="1"/>
  <c r="J17" i="2"/>
  <c r="J12" i="2"/>
  <c r="J89" i="2" s="1"/>
  <c r="E7" i="2"/>
  <c r="E123" i="2" s="1"/>
  <c r="L90" i="1"/>
  <c r="AM90" i="1"/>
  <c r="AM89" i="1"/>
  <c r="L89" i="1"/>
  <c r="AM87" i="1"/>
  <c r="L87" i="1"/>
  <c r="L85" i="1"/>
  <c r="L84" i="1"/>
  <c r="BK205" i="2"/>
  <c r="BK204" i="2"/>
  <c r="BK198" i="2"/>
  <c r="J188" i="2"/>
  <c r="J159" i="2"/>
  <c r="J200" i="2"/>
  <c r="J181" i="2"/>
  <c r="BK165" i="2"/>
  <c r="J143" i="2"/>
  <c r="J183" i="2"/>
  <c r="BK148" i="2"/>
  <c r="BK138" i="2"/>
  <c r="BK206" i="2"/>
  <c r="J146" i="2"/>
  <c r="BK143" i="2"/>
  <c r="BK136" i="2"/>
  <c r="J136" i="2"/>
  <c r="BK150" i="2"/>
  <c r="J202" i="2"/>
  <c r="BK151" i="2"/>
  <c r="J213" i="2"/>
  <c r="BK202" i="2"/>
  <c r="J182" i="2"/>
  <c r="J150" i="2"/>
  <c r="BK171" i="2"/>
  <c r="J196" i="2"/>
  <c r="J148" i="2"/>
  <c r="J211" i="2"/>
  <c r="J164" i="2"/>
  <c r="J209" i="2"/>
  <c r="J192" i="2"/>
  <c r="BK183" i="2"/>
  <c r="J174" i="2"/>
  <c r="BK196" i="2"/>
  <c r="J184" i="2"/>
  <c r="BK195" i="2"/>
  <c r="BK173" i="2"/>
  <c r="AS94" i="1"/>
  <c r="BK209" i="2"/>
  <c r="J172" i="2"/>
  <c r="BK197" i="2"/>
  <c r="J139" i="2"/>
  <c r="BK177" i="2"/>
  <c r="J198" i="2"/>
  <c r="BK181" i="2"/>
  <c r="BK161" i="2"/>
  <c r="J138" i="2"/>
  <c r="BK139" i="2"/>
  <c r="BK215" i="2"/>
  <c r="BK187" i="2"/>
  <c r="BK174" i="2"/>
  <c r="BK213" i="2"/>
  <c r="J171" i="2"/>
  <c r="J205" i="2"/>
  <c r="BK200" i="2"/>
  <c r="BK184" i="2"/>
  <c r="BK211" i="2"/>
  <c r="J195" i="2"/>
  <c r="J187" i="2"/>
  <c r="BK172" i="2"/>
  <c r="J173" i="2"/>
  <c r="J177" i="2"/>
  <c r="BK146" i="2"/>
  <c r="BK192" i="2"/>
  <c r="BK159" i="2"/>
  <c r="J204" i="2"/>
  <c r="J197" i="2"/>
  <c r="J215" i="2"/>
  <c r="J206" i="2"/>
  <c r="J203" i="2"/>
  <c r="J199" i="2"/>
  <c r="BK164" i="2"/>
  <c r="BK188" i="2"/>
  <c r="J161" i="2"/>
  <c r="J151" i="2"/>
  <c r="P141" i="2" l="1"/>
  <c r="R141" i="2"/>
  <c r="T141" i="2"/>
  <c r="P147" i="2"/>
  <c r="R147" i="2"/>
  <c r="T147" i="2"/>
  <c r="P142" i="2"/>
  <c r="R142" i="2"/>
  <c r="T142" i="2"/>
  <c r="P168" i="2"/>
  <c r="R168" i="2"/>
  <c r="T168" i="2"/>
  <c r="P152" i="2"/>
  <c r="R152" i="2"/>
  <c r="T152" i="2"/>
  <c r="BK160" i="2"/>
  <c r="P160" i="2"/>
  <c r="R160" i="2"/>
  <c r="T160" i="2"/>
  <c r="P176" i="2"/>
  <c r="R176" i="2"/>
  <c r="T176" i="2"/>
  <c r="BK153" i="2"/>
  <c r="T153" i="2"/>
  <c r="P153" i="2"/>
  <c r="R153" i="2"/>
  <c r="P162" i="2"/>
  <c r="R162" i="2"/>
  <c r="T162" i="2"/>
  <c r="BK179" i="2"/>
  <c r="BK178" i="2" s="1"/>
  <c r="J178" i="2" s="1"/>
  <c r="J102" i="2" s="1"/>
  <c r="P179" i="2"/>
  <c r="P178" i="2" s="1"/>
  <c r="R179" i="2"/>
  <c r="R178" i="2" s="1"/>
  <c r="T179" i="2"/>
  <c r="T178" i="2" s="1"/>
  <c r="P154" i="2"/>
  <c r="R154" i="2"/>
  <c r="T154" i="2"/>
  <c r="P163" i="2"/>
  <c r="R163" i="2"/>
  <c r="T163" i="2"/>
  <c r="P185" i="2"/>
  <c r="R185" i="2"/>
  <c r="T185" i="2"/>
  <c r="T180" i="2" s="1"/>
  <c r="P199" i="2"/>
  <c r="P194" i="2" s="1"/>
  <c r="R199" i="2"/>
  <c r="R194" i="2" s="1"/>
  <c r="T199" i="2"/>
  <c r="T194" i="2" s="1"/>
  <c r="P155" i="2"/>
  <c r="R155" i="2"/>
  <c r="T155" i="2"/>
  <c r="T186" i="2"/>
  <c r="P186" i="2"/>
  <c r="R186" i="2"/>
  <c r="P203" i="2"/>
  <c r="P201" i="2" s="1"/>
  <c r="R203" i="2"/>
  <c r="R201" i="2" s="1"/>
  <c r="T203" i="2"/>
  <c r="T201" i="2" s="1"/>
  <c r="BK140" i="2"/>
  <c r="R140" i="2"/>
  <c r="T140" i="2"/>
  <c r="P140" i="2"/>
  <c r="P157" i="2"/>
  <c r="P156" i="2" s="1"/>
  <c r="R157" i="2"/>
  <c r="R156" i="2" s="1"/>
  <c r="T157" i="2"/>
  <c r="T156" i="2" s="1"/>
  <c r="BK166" i="2"/>
  <c r="P166" i="2"/>
  <c r="R166" i="2"/>
  <c r="T166" i="2"/>
  <c r="J145" i="2"/>
  <c r="T145" i="2"/>
  <c r="P145" i="2"/>
  <c r="R145" i="2"/>
  <c r="BK167" i="2"/>
  <c r="P167" i="2"/>
  <c r="R167" i="2"/>
  <c r="T167" i="2"/>
  <c r="P149" i="2"/>
  <c r="R149" i="2"/>
  <c r="T149" i="2"/>
  <c r="BK144" i="2"/>
  <c r="P144" i="2"/>
  <c r="R144" i="2"/>
  <c r="T144" i="2"/>
  <c r="P175" i="2"/>
  <c r="R175" i="2"/>
  <c r="T175" i="2"/>
  <c r="J186" i="2"/>
  <c r="BK199" i="2"/>
  <c r="BK203" i="2"/>
  <c r="BK201" i="2" s="1"/>
  <c r="J201" i="2" s="1"/>
  <c r="J108" i="2" s="1"/>
  <c r="BK176" i="2"/>
  <c r="BK175" i="2"/>
  <c r="J185" i="2"/>
  <c r="BE185" i="2" s="1"/>
  <c r="J179" i="2"/>
  <c r="BE179" i="2" s="1"/>
  <c r="BK189" i="2"/>
  <c r="J189" i="2" s="1"/>
  <c r="J104" i="2" s="1"/>
  <c r="BK185" i="2"/>
  <c r="J175" i="2"/>
  <c r="BE175" i="2" s="1"/>
  <c r="BK186" i="2"/>
  <c r="J167" i="2"/>
  <c r="BE167" i="2" s="1"/>
  <c r="BK182" i="2"/>
  <c r="J168" i="2"/>
  <c r="BE168" i="2" s="1"/>
  <c r="J163" i="2"/>
  <c r="BE163" i="2" s="1"/>
  <c r="J154" i="2"/>
  <c r="BE154" i="2" s="1"/>
  <c r="BK168" i="2"/>
  <c r="J176" i="2"/>
  <c r="BE176" i="2" s="1"/>
  <c r="BK163" i="2"/>
  <c r="J166" i="2"/>
  <c r="BE166" i="2" s="1"/>
  <c r="J162" i="2"/>
  <c r="BE162" i="2" s="1"/>
  <c r="J155" i="2"/>
  <c r="BE155" i="2" s="1"/>
  <c r="BK162" i="2"/>
  <c r="BK152" i="2"/>
  <c r="BK155" i="2"/>
  <c r="J147" i="2"/>
  <c r="BE147" i="2" s="1"/>
  <c r="J160" i="2"/>
  <c r="BE160" i="2" s="1"/>
  <c r="BK157" i="2"/>
  <c r="BK156" i="2" s="1"/>
  <c r="J156" i="2" s="1"/>
  <c r="J99" i="2" s="1"/>
  <c r="J157" i="2"/>
  <c r="BE157" i="2" s="1"/>
  <c r="J152" i="2"/>
  <c r="BE152" i="2" s="1"/>
  <c r="BK154" i="2"/>
  <c r="J144" i="2"/>
  <c r="BE144" i="2" s="1"/>
  <c r="J153" i="2"/>
  <c r="BE153" i="2" s="1"/>
  <c r="BK147" i="2"/>
  <c r="BK149" i="2"/>
  <c r="J149" i="2"/>
  <c r="BE149" i="2" s="1"/>
  <c r="BK142" i="2"/>
  <c r="BK145" i="2"/>
  <c r="J140" i="2"/>
  <c r="BE140" i="2" s="1"/>
  <c r="BK141" i="2"/>
  <c r="J142" i="2"/>
  <c r="BE142" i="2" s="1"/>
  <c r="J141" i="2"/>
  <c r="BE141" i="2" s="1"/>
  <c r="BK194" i="2"/>
  <c r="J194" i="2" s="1"/>
  <c r="J107" i="2" s="1"/>
  <c r="BK210" i="2"/>
  <c r="J210" i="2" s="1"/>
  <c r="J111" i="2" s="1"/>
  <c r="BK208" i="2"/>
  <c r="J208" i="2" s="1"/>
  <c r="J110" i="2" s="1"/>
  <c r="BK214" i="2"/>
  <c r="J214" i="2" s="1"/>
  <c r="J113" i="2" s="1"/>
  <c r="BK191" i="2"/>
  <c r="J191" i="2" s="1"/>
  <c r="J105" i="2" s="1"/>
  <c r="BK212" i="2"/>
  <c r="J212" i="2" s="1"/>
  <c r="J112" i="2" s="1"/>
  <c r="J127" i="2"/>
  <c r="BE139" i="2"/>
  <c r="BE161" i="2"/>
  <c r="F92" i="2"/>
  <c r="BE136" i="2"/>
  <c r="BE150" i="2"/>
  <c r="BE172" i="2"/>
  <c r="E85" i="2"/>
  <c r="BE145" i="2"/>
  <c r="BE146" i="2"/>
  <c r="BE164" i="2"/>
  <c r="BE165" i="2"/>
  <c r="BE181" i="2"/>
  <c r="BE182" i="2"/>
  <c r="BE138" i="2"/>
  <c r="BE151" i="2"/>
  <c r="BE173" i="2"/>
  <c r="BE184" i="2"/>
  <c r="BE148" i="2"/>
  <c r="BE159" i="2"/>
  <c r="BE174" i="2"/>
  <c r="BE183" i="2"/>
  <c r="BE192" i="2"/>
  <c r="BE197" i="2"/>
  <c r="BE198" i="2"/>
  <c r="BE200" i="2"/>
  <c r="BE187" i="2"/>
  <c r="BE188" i="2"/>
  <c r="BE195" i="2"/>
  <c r="BE171" i="2"/>
  <c r="BE199" i="2"/>
  <c r="BE202" i="2"/>
  <c r="BE203" i="2"/>
  <c r="BE206" i="2"/>
  <c r="BE209" i="2"/>
  <c r="BE215" i="2"/>
  <c r="BE143" i="2"/>
  <c r="BE177" i="2"/>
  <c r="BE186" i="2"/>
  <c r="BE196" i="2"/>
  <c r="BE204" i="2"/>
  <c r="BE205" i="2"/>
  <c r="BE211" i="2"/>
  <c r="BE213" i="2"/>
  <c r="J34" i="2"/>
  <c r="AW95" i="1" s="1"/>
  <c r="F37" i="2"/>
  <c r="BD95" i="1" s="1"/>
  <c r="BD94" i="1" s="1"/>
  <c r="W33" i="1" s="1"/>
  <c r="F34" i="2"/>
  <c r="BA95" i="1" s="1"/>
  <c r="BA94" i="1" s="1"/>
  <c r="AW94" i="1" s="1"/>
  <c r="AK30" i="1" s="1"/>
  <c r="F36" i="2"/>
  <c r="BC95" i="1" s="1"/>
  <c r="BC94" i="1" s="1"/>
  <c r="W32" i="1" s="1"/>
  <c r="F35" i="2"/>
  <c r="BB95" i="1" s="1"/>
  <c r="BB94" i="1" s="1"/>
  <c r="W31" i="1" s="1"/>
  <c r="R135" i="2" l="1"/>
  <c r="P180" i="2"/>
  <c r="T193" i="2"/>
  <c r="R193" i="2"/>
  <c r="T170" i="2"/>
  <c r="P193" i="2"/>
  <c r="T158" i="2"/>
  <c r="R170" i="2"/>
  <c r="P135" i="2"/>
  <c r="R158" i="2"/>
  <c r="P170" i="2"/>
  <c r="T135" i="2"/>
  <c r="R180" i="2"/>
  <c r="P158" i="2"/>
  <c r="BK170" i="2"/>
  <c r="J170" i="2" s="1"/>
  <c r="J101" i="2" s="1"/>
  <c r="BK180" i="2"/>
  <c r="J180" i="2" s="1"/>
  <c r="J103" i="2" s="1"/>
  <c r="BK158" i="2"/>
  <c r="J158" i="2" s="1"/>
  <c r="J100" i="2" s="1"/>
  <c r="BK135" i="2"/>
  <c r="BK193" i="2"/>
  <c r="J193" i="2" s="1"/>
  <c r="J106" i="2" s="1"/>
  <c r="BK207" i="2"/>
  <c r="J207" i="2" s="1"/>
  <c r="J109" i="2" s="1"/>
  <c r="F33" i="2"/>
  <c r="AZ95" i="1" s="1"/>
  <c r="AZ94" i="1" s="1"/>
  <c r="AV94" i="1" s="1"/>
  <c r="AK29" i="1" s="1"/>
  <c r="W30" i="1"/>
  <c r="AY94" i="1"/>
  <c r="J33" i="2"/>
  <c r="AV95" i="1" s="1"/>
  <c r="AT95" i="1" s="1"/>
  <c r="AX94" i="1"/>
  <c r="T134" i="2" l="1"/>
  <c r="T133" i="2" s="1"/>
  <c r="P134" i="2"/>
  <c r="P133" i="2" s="1"/>
  <c r="R134" i="2"/>
  <c r="R133" i="2" s="1"/>
  <c r="BK134" i="2"/>
  <c r="J134" i="2" s="1"/>
  <c r="J97" i="2" s="1"/>
  <c r="AU95" i="1"/>
  <c r="AU94" i="1" s="1"/>
  <c r="J135" i="2"/>
  <c r="J98" i="2" s="1"/>
  <c r="W29" i="1"/>
  <c r="AT94" i="1"/>
  <c r="BK133" i="2" l="1"/>
  <c r="J133" i="2" s="1"/>
  <c r="J96" i="2" s="1"/>
  <c r="J30" i="2" l="1"/>
  <c r="AG95" i="1" s="1"/>
  <c r="AG94" i="1" s="1"/>
  <c r="AK26" i="1" s="1"/>
  <c r="AK35" i="1" s="1"/>
  <c r="J39" i="2" l="1"/>
  <c r="AN95" i="1"/>
  <c r="AN94" i="1"/>
</calcChain>
</file>

<file path=xl/sharedStrings.xml><?xml version="1.0" encoding="utf-8"?>
<sst xmlns="http://schemas.openxmlformats.org/spreadsheetml/2006/main" count="1273" uniqueCount="394">
  <si>
    <t/>
  </si>
  <si>
    <t>2.0</t>
  </si>
  <si>
    <t>False</t>
  </si>
  <si>
    <t>{a31459b6-ca4f-4bc5-8460-b2d0007753f4}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</si>
  <si>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</si>
  <si>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</si>
  <si>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</si>
  <si>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</si>
  <si>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</si>
  <si>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</si>
  <si>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</si>
  <si>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</si>
  <si>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</si>
  <si>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</si>
  <si>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</si>
  <si>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</si>
  <si>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>Chrastava</t>
  </si>
  <si>
    <t>Datum:</t>
  </si>
  <si>
    <t>Zadavatel:</t>
  </si>
  <si>
    <t>IČ: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</si>
  <si>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</si>
  <si>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</si>
  <si>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</si>
  <si>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</si>
  <si>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</si>
  <si>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</si>
  <si>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</si>
  <si>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</si>
  <si>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</si>
  <si>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</si>
  <si>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</si>
  <si>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</si>
  <si>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</si>
  <si>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</si>
  <si>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</si>
  <si>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</si>
  <si>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</si>
  <si>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</si>
  <si>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</si>
  <si>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</si>
  <si>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</si>
  <si>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</si>
  <si>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</si>
  <si>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</si>
  <si>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</si>
  <si>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</si>
  <si>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</si>
  <si>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</si>
  <si>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</si>
  <si>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</si>
  <si>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</si>
  <si>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</si>
  <si>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</si>
  <si>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</si>
  <si>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</si>
  <si>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</si>
  <si>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</si>
  <si>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</si>
  <si>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</si>
  <si>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</si>
  <si>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</si>
  <si>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</si>
  <si>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</si>
  <si>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</si>
  <si>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</si>
  <si>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</si>
  <si>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</si>
  <si>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</si>
  <si>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</si>
  <si>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</si>
  <si>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</si>
  <si>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</si>
  <si>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- 01</t>
  </si>
  <si>
    <t>STA</t>
  </si>
  <si>
    <t>1</t>
  </si>
  <si>
    <t>{e918175a-a15d-414d-9e8c-412d694fa8b5}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</si>
  <si>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</si>
  <si>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</si>
  <si>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</si>
  <si>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</si>
  <si>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</si>
  <si>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</si>
  <si>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</si>
  <si>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</si>
  <si>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</si>
  <si>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</si>
  <si>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</si>
  <si>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</si>
  <si>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</si>
  <si>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</si>
  <si>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</si>
  <si>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</si>
  <si>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</si>
  <si>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PSV</t>
  </si>
  <si>
    <t xml:space="preserve">    767 - Konstrukce zámečnické</t>
  </si>
  <si>
    <t xml:space="preserve">    792 - Sportovní vybavení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</si>
  <si>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</si>
  <si>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</si>
  <si>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</si>
  <si>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</si>
  <si>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</si>
  <si>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</si>
  <si>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</si>
  <si>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</si>
  <si>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</si>
  <si>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</si>
  <si>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</si>
  <si>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</si>
  <si>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</si>
  <si>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</si>
  <si>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</si>
  <si>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</si>
  <si>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</si>
  <si>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</si>
  <si>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</si>
  <si>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</si>
  <si>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</si>
  <si>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</si>
  <si>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</si>
  <si>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</si>
  <si>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 (pro další použití)</t>
  </si>
  <si>
    <t>m2</t>
  </si>
  <si>
    <t>4</t>
  </si>
  <si>
    <t>997726742</t>
  </si>
  <si>
    <t>113106132</t>
  </si>
  <si>
    <t>Rozebrání dlažeb z betonových nebo kamenných dlaždic komunikací pro pěší strojně pl do 50 m2</t>
  </si>
  <si>
    <t>583892844</t>
  </si>
  <si>
    <t>3</t>
  </si>
  <si>
    <t>113202111</t>
  </si>
  <si>
    <t>Vytrhání obrub krajníků obrubníků stojatých</t>
  </si>
  <si>
    <t>m</t>
  </si>
  <si>
    <t>-210386920</t>
  </si>
  <si>
    <t>121151123</t>
  </si>
  <si>
    <t>Sejmutí ornice plochy přes 500 m2 tl vrstvy do 200 mm strojně</t>
  </si>
  <si>
    <t>-87934478</t>
  </si>
  <si>
    <t>5</t>
  </si>
  <si>
    <t>132254101</t>
  </si>
  <si>
    <t>Hloubení rýh zapažených š do 800 mm v hornině třídy těžitelnosti I skupiny 3 objem do 20 m3 strojně</t>
  </si>
  <si>
    <t>m3</t>
  </si>
  <si>
    <t>1226680056</t>
  </si>
  <si>
    <t>VV</t>
  </si>
  <si>
    <t>6</t>
  </si>
  <si>
    <t>133212011</t>
  </si>
  <si>
    <t>Hloubení šachet v hornině třídy těžitelnosti I skupiny 3 plocha výkopu do 4 m2 ručně</t>
  </si>
  <si>
    <t>-185778343</t>
  </si>
  <si>
    <t>7</t>
  </si>
  <si>
    <t>162751117</t>
  </si>
  <si>
    <t>Vodorovné přemístění přes 9 000 do 10000 m výkopku/sypaniny z horniny třídy těžitelnosti I skupiny 1 až 3</t>
  </si>
  <si>
    <t>-198150971</t>
  </si>
  <si>
    <t>8</t>
  </si>
  <si>
    <t>162751119</t>
  </si>
  <si>
    <t>Příplatek k vodorovnému přemístění výkopku/sypaniny z horniny třídy těžitelnosti I skupiny 1 až 3 ZKD 1000 m přes 10000 m</t>
  </si>
  <si>
    <t>-57757481</t>
  </si>
  <si>
    <t>9</t>
  </si>
  <si>
    <t>171201221</t>
  </si>
  <si>
    <t>Poplatek za uložení na skládce (skládkovné) zeminy a kamení kód odpadu 17 05 04</t>
  </si>
  <si>
    <t>t</t>
  </si>
  <si>
    <t>-134892018</t>
  </si>
  <si>
    <t>10</t>
  </si>
  <si>
    <t>171251201</t>
  </si>
  <si>
    <t>Uložení sypaniny na skládky nebo meziskládky</t>
  </si>
  <si>
    <t>-1388214341</t>
  </si>
  <si>
    <t>11</t>
  </si>
  <si>
    <t>181311103</t>
  </si>
  <si>
    <t>Rozprostření ornice tl vrstvy do 200 mm v rovině nebo ve svahu do 1:5 ručně</t>
  </si>
  <si>
    <t>-1158927963</t>
  </si>
  <si>
    <t>12</t>
  </si>
  <si>
    <t>M</t>
  </si>
  <si>
    <t>10371500</t>
  </si>
  <si>
    <t>substrát pro trávníky VL</t>
  </si>
  <si>
    <t>-1178180723</t>
  </si>
  <si>
    <t>13</t>
  </si>
  <si>
    <t>181411131</t>
  </si>
  <si>
    <t>Založení parkového trávníku výsevem plochy do 1000 m2 v rovině a ve svahu do 1:5 - součást skladby souvrství - viz.TZ</t>
  </si>
  <si>
    <t>-1103093081</t>
  </si>
  <si>
    <t>14</t>
  </si>
  <si>
    <t>00572410</t>
  </si>
  <si>
    <t>osivo směs travní parková</t>
  </si>
  <si>
    <t>kg</t>
  </si>
  <si>
    <t>465476918</t>
  </si>
  <si>
    <t>181951112</t>
  </si>
  <si>
    <t>Úprava pláně vyrovnáním výškových rozdílů strojně v hornině třídy těžitelnosti I, skupiny 1 až 3 se zhutněním, vč.požadovaných zkoušek zhutnění</t>
  </si>
  <si>
    <t>-107713065</t>
  </si>
  <si>
    <t>16</t>
  </si>
  <si>
    <t>184802111</t>
  </si>
  <si>
    <t>Chemické odplevelení před založením kultury nad 20 m2 postřikem na široko v rovině a svahu do 1:5</t>
  </si>
  <si>
    <t>-624567544</t>
  </si>
  <si>
    <t>17</t>
  </si>
  <si>
    <t>185802113</t>
  </si>
  <si>
    <t>Hnojení půdy umělým hnojivem na široko v rovině a svahu do 1:5</t>
  </si>
  <si>
    <t>168936044</t>
  </si>
  <si>
    <t>18</t>
  </si>
  <si>
    <t>25191155</t>
  </si>
  <si>
    <t>hnojivo průmyslové Cererit</t>
  </si>
  <si>
    <t>-646098431</t>
  </si>
  <si>
    <t>19</t>
  </si>
  <si>
    <t>185804312</t>
  </si>
  <si>
    <t>Zalití rostlin vodou plocha přes 20 m2</t>
  </si>
  <si>
    <t>1562214590</t>
  </si>
  <si>
    <t>20</t>
  </si>
  <si>
    <t>185851121</t>
  </si>
  <si>
    <t>Dovoz vody pro zálivku rostlin za vzdálenost do 1000 m</t>
  </si>
  <si>
    <t>1109722339</t>
  </si>
  <si>
    <t>Zakládání</t>
  </si>
  <si>
    <t>275313711</t>
  </si>
  <si>
    <t>Základové patky z betonu tř. C 20/25</t>
  </si>
  <si>
    <t>87527360</t>
  </si>
  <si>
    <t>Svislé a kompletní konstrukce</t>
  </si>
  <si>
    <t>22</t>
  </si>
  <si>
    <t>339921131</t>
  </si>
  <si>
    <t>Osazování betonových palisád do betonového základu v řadě výšky prvku do 0,5 m</t>
  </si>
  <si>
    <t>1987857219</t>
  </si>
  <si>
    <t>23</t>
  </si>
  <si>
    <t>59228407R</t>
  </si>
  <si>
    <t>palisáda betonová tyčová půlkulatá přírodní 120x180x400mm</t>
  </si>
  <si>
    <t>kus</t>
  </si>
  <si>
    <t>-355120603</t>
  </si>
  <si>
    <t>24</t>
  </si>
  <si>
    <t>339921132</t>
  </si>
  <si>
    <t>Osazování betonových palisád do betonového základu v řadě výšky prvku přes 0,5 do 1 m</t>
  </si>
  <si>
    <t>236820112</t>
  </si>
  <si>
    <t>25</t>
  </si>
  <si>
    <t>59228412R</t>
  </si>
  <si>
    <t>palisáda betonová tyčová půlkulatá přírodní 120x180x600mm</t>
  </si>
  <si>
    <t>-166435423</t>
  </si>
  <si>
    <t>26</t>
  </si>
  <si>
    <t>59228413R</t>
  </si>
  <si>
    <t>palisáda betonová tyčová půlkulatá přírodní 120x180x800mm</t>
  </si>
  <si>
    <t>1824326222</t>
  </si>
  <si>
    <t>27</t>
  </si>
  <si>
    <t>348121221</t>
  </si>
  <si>
    <t>Osazení podhrabových desek dl přes 2 do 3 m na ocelové plotové sloupky</t>
  </si>
  <si>
    <t>-1618937077</t>
  </si>
  <si>
    <t>28</t>
  </si>
  <si>
    <t>59232543</t>
  </si>
  <si>
    <t xml:space="preserve">betonová podhrabová deska 2500x250x50mm </t>
  </si>
  <si>
    <t>-531367864</t>
  </si>
  <si>
    <t>29</t>
  </si>
  <si>
    <t>348401153</t>
  </si>
  <si>
    <t>Montáž oplocení ze svařovaného pletiva  v přes 1,5 do 2,0 m</t>
  </si>
  <si>
    <t>-1904333347</t>
  </si>
  <si>
    <t>30</t>
  </si>
  <si>
    <t>31324812</t>
  </si>
  <si>
    <t>svařované plotové pletivo výšky 2,00m povrchová úprava Pz a poplast (např.Nylofor)</t>
  </si>
  <si>
    <t>1319389469</t>
  </si>
  <si>
    <t>31</t>
  </si>
  <si>
    <t>389381001</t>
  </si>
  <si>
    <t>Dobetonování prefabrikovaných konstrukcí</t>
  </si>
  <si>
    <t>-1028285085</t>
  </si>
  <si>
    <t>mezi obrubníkem,palisádami a podhrabovou deskou</t>
  </si>
  <si>
    <t>Komunikace pozemní</t>
  </si>
  <si>
    <t>32</t>
  </si>
  <si>
    <t>564361121</t>
  </si>
  <si>
    <t>Podklad ploch pro tělovýchovu ze škváry  dvouvrstvový s rozprostřením hmot, vlhčením a zhutněním tl. do 200 mm</t>
  </si>
  <si>
    <t>-2099933847</t>
  </si>
  <si>
    <t>33</t>
  </si>
  <si>
    <t>564750011</t>
  </si>
  <si>
    <t>Podklad z kameniva hrubého drceného vel. 8-16 mm tl 150 mm</t>
  </si>
  <si>
    <t>-1756429578</t>
  </si>
  <si>
    <t>34</t>
  </si>
  <si>
    <t>564931111R</t>
  </si>
  <si>
    <t>Patentní vrstva ze škváry, cihlářské hlíny a vody tl 60 mm, hutněná, vlhčená</t>
  </si>
  <si>
    <t>291106816</t>
  </si>
  <si>
    <t>35</t>
  </si>
  <si>
    <t>589116113R</t>
  </si>
  <si>
    <t>Kryt ploch pro tělovýchovu jedno a dvouvrstvý antukový tl 10 mm</t>
  </si>
  <si>
    <t>1073259421</t>
  </si>
  <si>
    <t>36</t>
  </si>
  <si>
    <t>589811111</t>
  </si>
  <si>
    <t>X04 - Vodorovné značení (lajnování) hřišť pro tenis, kotvení do podkladu pomocí kovových zemních hmoždinek a nerezových plíšků</t>
  </si>
  <si>
    <t>-1490567346</t>
  </si>
  <si>
    <t>37</t>
  </si>
  <si>
    <t>596811120</t>
  </si>
  <si>
    <t>Kladení betonové dlažby komunikací pro pěší do lože z kameniva velikosti do 0,09 m2 pl do 50 m2</t>
  </si>
  <si>
    <t>636053183</t>
  </si>
  <si>
    <t>38</t>
  </si>
  <si>
    <t>59245018</t>
  </si>
  <si>
    <t>dlažba tvar obdélník betonová 200x100x60mm přírodní</t>
  </si>
  <si>
    <t>-1162338271</t>
  </si>
  <si>
    <t>Úpravy povrchů, podlahy a osazování výplní</t>
  </si>
  <si>
    <t>39</t>
  </si>
  <si>
    <t>635111241</t>
  </si>
  <si>
    <t>1912736138</t>
  </si>
  <si>
    <t>Ostatní konstrukce a práce, bourání</t>
  </si>
  <si>
    <t>40</t>
  </si>
  <si>
    <t>9001001</t>
  </si>
  <si>
    <t>ks</t>
  </si>
  <si>
    <t>705021911</t>
  </si>
  <si>
    <t>41</t>
  </si>
  <si>
    <t>916231213</t>
  </si>
  <si>
    <t>Osazení chodníkového obrubníku betonového stojatého s boční opěrou do lože z betonu prostého</t>
  </si>
  <si>
    <t>580010292</t>
  </si>
  <si>
    <t>42</t>
  </si>
  <si>
    <t>59217017</t>
  </si>
  <si>
    <t>obrubník betonový chodníkový 1000x100x250mm</t>
  </si>
  <si>
    <t>1326432399</t>
  </si>
  <si>
    <t>43</t>
  </si>
  <si>
    <t>916331112</t>
  </si>
  <si>
    <t>Osazení zahradního obrubníku betonového do lože z betonu s boční opěrou</t>
  </si>
  <si>
    <t>-860045761</t>
  </si>
  <si>
    <t>44</t>
  </si>
  <si>
    <t>59217002</t>
  </si>
  <si>
    <t>obrubník betonový zahradní šedý 1000x50x200mm</t>
  </si>
  <si>
    <t>99625410</t>
  </si>
  <si>
    <t>45</t>
  </si>
  <si>
    <t>916991121</t>
  </si>
  <si>
    <t>Lože pod obrubníky, krajníky nebo obruby z dlažebních kostek z betonu prostého</t>
  </si>
  <si>
    <t>145149833</t>
  </si>
  <si>
    <t>46</t>
  </si>
  <si>
    <t>949101112</t>
  </si>
  <si>
    <t>Lešení pomocné pro objekty pozemních staveb s lešeňovou podlahou v přes 1,9 do 3,5 m zatížení do 150 kg/m2</t>
  </si>
  <si>
    <t>1977885974</t>
  </si>
  <si>
    <t>47</t>
  </si>
  <si>
    <t>952901411</t>
  </si>
  <si>
    <t>Vyčištění ostatních objektů (kanálů, zásobníků, kůlen) při jakékoliv výšce podlaží</t>
  </si>
  <si>
    <t>1957306424</t>
  </si>
  <si>
    <t>997</t>
  </si>
  <si>
    <t>Přesun sutě</t>
  </si>
  <si>
    <t>997013151</t>
  </si>
  <si>
    <t>Vnitrostaveništní doprava suti a vybouraných hmot pro budovy v do 6 m s omezením mechanizace</t>
  </si>
  <si>
    <t>629358944</t>
  </si>
  <si>
    <t>998</t>
  </si>
  <si>
    <t>Přesun hmot</t>
  </si>
  <si>
    <t>998222012</t>
  </si>
  <si>
    <t>Přesun hmot pro tělovýchovné plochy</t>
  </si>
  <si>
    <t>-627668666</t>
  </si>
  <si>
    <t>PSV</t>
  </si>
  <si>
    <t>767</t>
  </si>
  <si>
    <t>Konstrukce zámečnické</t>
  </si>
  <si>
    <t>7671001</t>
  </si>
  <si>
    <t>X05 - D+M jednokřídlová branka vč.zamykání vel.1500x2100 mm, pozink, poplast.</t>
  </si>
  <si>
    <t>439468783</t>
  </si>
  <si>
    <t>7671002</t>
  </si>
  <si>
    <t>X06 - D+M dvoukřídlová brána vč.zamykání vel.4000x2100 mm, pozink, poplast.</t>
  </si>
  <si>
    <t>1509345056</t>
  </si>
  <si>
    <t>7671004</t>
  </si>
  <si>
    <t>D+M sloupku hrazení Jekl 60x80mm, dl.5000mm, pozink, poplast. vč.osazení do beton.patek</t>
  </si>
  <si>
    <t>1255954244</t>
  </si>
  <si>
    <t>7671005</t>
  </si>
  <si>
    <t xml:space="preserve">D+M víčka sloupku hrazení  pozink, poplast. </t>
  </si>
  <si>
    <t>831799820</t>
  </si>
  <si>
    <t>7671006</t>
  </si>
  <si>
    <t xml:space="preserve">D+M vzpěry pro uchycení sítě Jekl 35x35x3 mm, pozink, poplast. </t>
  </si>
  <si>
    <t>-559445196</t>
  </si>
  <si>
    <t>998767201</t>
  </si>
  <si>
    <t>Přesun hmot procentní pro zámečnické konstrukce v objektech v do 6 m</t>
  </si>
  <si>
    <t>%</t>
  </si>
  <si>
    <t>-1584118356</t>
  </si>
  <si>
    <t>792</t>
  </si>
  <si>
    <t>Sportovní vybavení</t>
  </si>
  <si>
    <t>kpl</t>
  </si>
  <si>
    <t>792102</t>
  </si>
  <si>
    <t>X03 - Tenisové sloupky (2x sloupek), síť, wimbledon páska, závaží, osazení do beton.patek</t>
  </si>
  <si>
    <t>1356718225</t>
  </si>
  <si>
    <t>792103</t>
  </si>
  <si>
    <t>D+M sítí polypropylen oko 45x45mm, tl.3mm, zelená</t>
  </si>
  <si>
    <t>-1782895499</t>
  </si>
  <si>
    <t>792106</t>
  </si>
  <si>
    <t>D+M tlumící podložky proti nadměrnému hluku</t>
  </si>
  <si>
    <t>1696946253</t>
  </si>
  <si>
    <t>792200</t>
  </si>
  <si>
    <t>Doprava sportovního vybavení</t>
  </si>
  <si>
    <t>-1662038653</t>
  </si>
  <si>
    <t>792201</t>
  </si>
  <si>
    <t>Závěrečná revize sportoviště</t>
  </si>
  <si>
    <t>1664286764</t>
  </si>
  <si>
    <t>VRN</t>
  </si>
  <si>
    <t>Vedlejší rozpočtové náklady</t>
  </si>
  <si>
    <t>VRN1</t>
  </si>
  <si>
    <t>Průzkumné, geodetické a projektové práce</t>
  </si>
  <si>
    <t>012002000</t>
  </si>
  <si>
    <t>Geodetické práce - vytýčení objektu a stávajících sítí</t>
  </si>
  <si>
    <t>1024</t>
  </si>
  <si>
    <t>-588221690</t>
  </si>
  <si>
    <t>VRN3</t>
  </si>
  <si>
    <t>Zařízení staveniště</t>
  </si>
  <si>
    <t>030001000</t>
  </si>
  <si>
    <t>106951894</t>
  </si>
  <si>
    <t>VRN4</t>
  </si>
  <si>
    <t>Inženýrská činnost</t>
  </si>
  <si>
    <t>040001000</t>
  </si>
  <si>
    <t>268709262</t>
  </si>
  <si>
    <t>VRN9</t>
  </si>
  <si>
    <t>Ostatní náklady</t>
  </si>
  <si>
    <t>090001000</t>
  </si>
  <si>
    <t>Kompletační činnost</t>
  </si>
  <si>
    <t>-569667576</t>
  </si>
  <si>
    <t>TJ SPARTAK CHRASTAVA</t>
  </si>
  <si>
    <t>Ing. Daniel Fadrhonc</t>
  </si>
  <si>
    <t>Tenisový kurt na p.č. 570/1 v k.ú. Chrastava I</t>
  </si>
  <si>
    <t>Tenisový kurt</t>
  </si>
  <si>
    <t>SO - 01 - Tenisový kurt</t>
  </si>
  <si>
    <t>Násyp z hrubého kameniva 8-16 se zhutněním(kačírek)</t>
  </si>
  <si>
    <t>Úprava výšky stáv.kanálu dešť.kanalizace pod antukový povrch (včetně nového poklopu)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</si>
</sst>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4" fontId="20" fillId="0" borderId="0" xfId="0" applyNumberFormat="1" applyFont="1"/>
    <xf numFmtId="166" fontId="28" fillId="0" borderId="12" xfId="0" applyNumberFormat="1" applyFont="1" applyBorder="1"/>
    <xf numFmtId="166" fontId="28" fillId="0" borderId="13" xfId="0" applyNumberFormat="1" applyFont="1" applyBorder="1"/>
    <xf numFmtId="4" fontId="29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0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Q113" sqref="Q11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3"/>
      <c r="AZ1" s="13" t="s">
        <v>0</v>
      </c>
      <c r="BA1" s="13" t="s">
        <v>1</v>
      </c>
      <c r="BB1" s="13" t="s">
        <v>0</v>
      </c>
      <c r="BT1" s="13" t="s">
        <v>2</v>
      </c>
      <c r="BU1" s="13" t="s">
        <v>2</v>
      </c>
      <c r="BV1" s="13" t="s">
        <v>3</v>
      </c>
    </row>
    <row r="2" spans="1:74" ht="36.950000000000003" customHeight="1">
      <c r="AR2" s="172" t="s">
        <v>4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S2" s="14" t="s">
        <v>5</v>
      </c>
      <c r="BT2" s="14" t="s">
        <v>6</v>
      </c>
    </row>
    <row r="3" spans="1:74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5</v>
      </c>
      <c r="BT3" s="14" t="s">
        <v>7</v>
      </c>
    </row>
    <row r="4" spans="1:74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ht="12" customHeight="1">
      <c r="B5" s="17"/>
      <c r="D5" s="20" t="s">
        <v>11</v>
      </c>
      <c r="K5" s="157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R5" s="17"/>
      <c r="BS5" s="14" t="s">
        <v>5</v>
      </c>
    </row>
    <row r="6" spans="1:74" ht="36.950000000000003" customHeight="1">
      <c r="B6" s="17"/>
      <c r="D6" s="22" t="s">
        <v>12</v>
      </c>
      <c r="K6" s="159" t="s">
        <v>389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R6" s="17"/>
      <c r="BS6" s="14" t="s">
        <v>5</v>
      </c>
    </row>
    <row r="7" spans="1:74" ht="12" customHeight="1">
      <c r="B7" s="17"/>
      <c r="D7" s="23" t="s">
        <v>13</v>
      </c>
      <c r="K7" s="21" t="s">
        <v>0</v>
      </c>
      <c r="AK7" s="23" t="s">
        <v>14</v>
      </c>
      <c r="AN7" s="21" t="s">
        <v>0</v>
      </c>
      <c r="AR7" s="17"/>
      <c r="BS7" s="14" t="s">
        <v>5</v>
      </c>
    </row>
    <row r="8" spans="1:74" ht="12" customHeight="1">
      <c r="B8" s="17"/>
      <c r="D8" s="23" t="s">
        <v>15</v>
      </c>
      <c r="K8" s="21" t="s">
        <v>16</v>
      </c>
      <c r="AK8" s="23" t="s">
        <v>17</v>
      </c>
      <c r="AN8" s="156">
        <v>45255</v>
      </c>
      <c r="AR8" s="17"/>
      <c r="BS8" s="14" t="s">
        <v>5</v>
      </c>
    </row>
    <row r="9" spans="1:74" ht="14.45" customHeight="1">
      <c r="B9" s="17"/>
      <c r="AR9" s="17"/>
      <c r="BS9" s="14" t="s">
        <v>5</v>
      </c>
    </row>
    <row r="10" spans="1:74" ht="12" customHeight="1">
      <c r="B10" s="17"/>
      <c r="D10" s="23" t="s">
        <v>18</v>
      </c>
      <c r="AK10" s="23" t="s">
        <v>19</v>
      </c>
      <c r="AN10" s="21" t="s">
        <v>0</v>
      </c>
      <c r="AR10" s="17"/>
      <c r="BS10" s="14" t="s">
        <v>5</v>
      </c>
    </row>
    <row r="11" spans="1:74" ht="18.399999999999999" customHeight="1">
      <c r="B11" s="17"/>
      <c r="E11" s="21" t="s">
        <v>387</v>
      </c>
      <c r="AK11" s="23" t="s">
        <v>20</v>
      </c>
      <c r="AN11" s="21" t="s">
        <v>0</v>
      </c>
      <c r="AR11" s="17"/>
      <c r="BS11" s="14" t="s">
        <v>5</v>
      </c>
    </row>
    <row r="12" spans="1:74" ht="6.95" customHeight="1">
      <c r="B12" s="17"/>
      <c r="AR12" s="17"/>
      <c r="BS12" s="14" t="s">
        <v>5</v>
      </c>
    </row>
    <row r="13" spans="1:74" ht="12" customHeight="1">
      <c r="B13" s="17"/>
      <c r="D13" s="23" t="s">
        <v>21</v>
      </c>
      <c r="AK13" s="23" t="s">
        <v>19</v>
      </c>
      <c r="AN13" s="21" t="s">
        <v>0</v>
      </c>
      <c r="AR13" s="17"/>
      <c r="BS13" s="14" t="s">
        <v>5</v>
      </c>
    </row>
    <row r="14" spans="1:74" ht="12.75">
      <c r="B14" s="17"/>
      <c r="E14" s="21" t="s">
        <v>22</v>
      </c>
      <c r="AK14" s="23" t="s">
        <v>20</v>
      </c>
      <c r="AN14" s="21" t="s">
        <v>0</v>
      </c>
      <c r="AR14" s="17"/>
      <c r="BS14" s="14" t="s">
        <v>5</v>
      </c>
    </row>
    <row r="15" spans="1:74" ht="6.95" customHeight="1">
      <c r="B15" s="17"/>
      <c r="AR15" s="17"/>
      <c r="BS15" s="14" t="s">
        <v>2</v>
      </c>
    </row>
    <row r="16" spans="1:74" ht="12" customHeight="1">
      <c r="B16" s="17"/>
      <c r="D16" s="23" t="s">
        <v>23</v>
      </c>
      <c r="AK16" s="23" t="s">
        <v>19</v>
      </c>
      <c r="AN16" s="21" t="s">
        <v>0</v>
      </c>
      <c r="AR16" s="17"/>
      <c r="BS16" s="14" t="s">
        <v>2</v>
      </c>
    </row>
    <row r="17" spans="2:71" ht="18.399999999999999" customHeight="1">
      <c r="B17" s="17"/>
      <c r="E17" s="21" t="s">
        <v>388</v>
      </c>
      <c r="AK17" s="23" t="s">
        <v>20</v>
      </c>
      <c r="AN17" s="21" t="s">
        <v>0</v>
      </c>
      <c r="AR17" s="17"/>
      <c r="BS17" s="14" t="s">
        <v>24</v>
      </c>
    </row>
    <row r="18" spans="2:71" ht="6.95" customHeight="1">
      <c r="B18" s="17"/>
      <c r="AR18" s="17"/>
      <c r="BS18" s="14" t="s">
        <v>5</v>
      </c>
    </row>
    <row r="19" spans="2:71" ht="12" customHeight="1">
      <c r="B19" s="17"/>
      <c r="D19" s="23" t="s">
        <v>25</v>
      </c>
      <c r="AK19" s="23" t="s">
        <v>19</v>
      </c>
      <c r="AN19" s="21" t="s">
        <v>0</v>
      </c>
      <c r="AR19" s="17"/>
      <c r="BS19" s="14" t="s">
        <v>5</v>
      </c>
    </row>
    <row r="20" spans="2:71" ht="18.399999999999999" customHeight="1">
      <c r="B20" s="17"/>
      <c r="E20" s="21" t="s">
        <v>388</v>
      </c>
      <c r="AK20" s="23" t="s">
        <v>20</v>
      </c>
      <c r="AN20" s="21" t="s">
        <v>0</v>
      </c>
      <c r="AR20" s="17"/>
      <c r="BS20" s="14" t="s">
        <v>24</v>
      </c>
    </row>
    <row r="21" spans="2:71" ht="6.95" customHeight="1">
      <c r="B21" s="17"/>
      <c r="AR21" s="17"/>
    </row>
    <row r="22" spans="2:71" ht="12" customHeight="1">
      <c r="B22" s="17"/>
      <c r="D22" s="23" t="s">
        <v>26</v>
      </c>
      <c r="AR22" s="17"/>
    </row>
    <row r="23" spans="2:71" ht="16.5" customHeight="1">
      <c r="B23" s="17"/>
      <c r="E23" s="160" t="s">
        <v>0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R23" s="17"/>
    </row>
    <row r="24" spans="2:71" ht="6.95" customHeight="1">
      <c r="B24" s="17"/>
      <c r="AR24" s="17"/>
    </row>
    <row r="25" spans="2:7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71" s="1" customFormat="1" ht="25.9" customHeight="1">
      <c r="B26" s="26"/>
      <c r="D26" s="27" t="s">
        <v>27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61">
        <f>ROUND(AG94,2)</f>
        <v>1729632.26</v>
      </c>
      <c r="AL26" s="162"/>
      <c r="AM26" s="162"/>
      <c r="AN26" s="162"/>
      <c r="AO26" s="162"/>
      <c r="AR26" s="26"/>
    </row>
    <row r="27" spans="2:71" s="1" customFormat="1" ht="6.95" customHeight="1">
      <c r="B27" s="26"/>
      <c r="AR27" s="26"/>
    </row>
    <row r="28" spans="2:71" s="1" customFormat="1" ht="12.75">
      <c r="B28" s="26"/>
      <c r="L28" s="163" t="s">
        <v>28</v>
      </c>
      <c r="M28" s="163"/>
      <c r="N28" s="163"/>
      <c r="O28" s="163"/>
      <c r="P28" s="163"/>
      <c r="W28" s="163" t="s">
        <v>29</v>
      </c>
      <c r="X28" s="163"/>
      <c r="Y28" s="163"/>
      <c r="Z28" s="163"/>
      <c r="AA28" s="163"/>
      <c r="AB28" s="163"/>
      <c r="AC28" s="163"/>
      <c r="AD28" s="163"/>
      <c r="AE28" s="163"/>
      <c r="AK28" s="163" t="s">
        <v>30</v>
      </c>
      <c r="AL28" s="163"/>
      <c r="AM28" s="163"/>
      <c r="AN28" s="163"/>
      <c r="AO28" s="163"/>
      <c r="AR28" s="26"/>
    </row>
    <row r="29" spans="2:71" s="2" customFormat="1" ht="14.45" customHeight="1">
      <c r="B29" s="30"/>
      <c r="D29" s="23" t="s">
        <v>31</v>
      </c>
      <c r="F29" s="23" t="s">
        <v>32</v>
      </c>
      <c r="L29" s="166">
        <v>0.21</v>
      </c>
      <c r="M29" s="165"/>
      <c r="N29" s="165"/>
      <c r="O29" s="165"/>
      <c r="P29" s="165"/>
      <c r="W29" s="164">
        <f>ROUND(AZ94, 2)</f>
        <v>1729632.26</v>
      </c>
      <c r="X29" s="165"/>
      <c r="Y29" s="165"/>
      <c r="Z29" s="165"/>
      <c r="AA29" s="165"/>
      <c r="AB29" s="165"/>
      <c r="AC29" s="165"/>
      <c r="AD29" s="165"/>
      <c r="AE29" s="165"/>
      <c r="AK29" s="164">
        <f>ROUND(AV94, 2)</f>
        <v>363222.77</v>
      </c>
      <c r="AL29" s="165"/>
      <c r="AM29" s="165"/>
      <c r="AN29" s="165"/>
      <c r="AO29" s="165"/>
      <c r="AR29" s="30"/>
    </row>
    <row r="30" spans="2:71" s="2" customFormat="1" ht="14.45" customHeight="1">
      <c r="B30" s="30"/>
      <c r="F30" s="23" t="s">
        <v>33</v>
      </c>
      <c r="L30" s="166">
        <v>0.15</v>
      </c>
      <c r="M30" s="165"/>
      <c r="N30" s="165"/>
      <c r="O30" s="165"/>
      <c r="P30" s="165"/>
      <c r="W30" s="164">
        <f>ROUND(BA94, 2)</f>
        <v>0</v>
      </c>
      <c r="X30" s="165"/>
      <c r="Y30" s="165"/>
      <c r="Z30" s="165"/>
      <c r="AA30" s="165"/>
      <c r="AB30" s="165"/>
      <c r="AC30" s="165"/>
      <c r="AD30" s="165"/>
      <c r="AE30" s="165"/>
      <c r="AK30" s="164">
        <f>ROUND(AW94, 2)</f>
        <v>0</v>
      </c>
      <c r="AL30" s="165"/>
      <c r="AM30" s="165"/>
      <c r="AN30" s="165"/>
      <c r="AO30" s="165"/>
      <c r="AR30" s="30"/>
    </row>
    <row r="31" spans="2:71" s="2" customFormat="1" ht="14.45" hidden="1" customHeight="1">
      <c r="B31" s="30"/>
      <c r="F31" s="23" t="s">
        <v>34</v>
      </c>
      <c r="L31" s="166">
        <v>0.21</v>
      </c>
      <c r="M31" s="165"/>
      <c r="N31" s="165"/>
      <c r="O31" s="165"/>
      <c r="P31" s="165"/>
      <c r="W31" s="164">
        <f>ROUND(BB94, 2)</f>
        <v>0</v>
      </c>
      <c r="X31" s="165"/>
      <c r="Y31" s="165"/>
      <c r="Z31" s="165"/>
      <c r="AA31" s="165"/>
      <c r="AB31" s="165"/>
      <c r="AC31" s="165"/>
      <c r="AD31" s="165"/>
      <c r="AE31" s="165"/>
      <c r="AK31" s="164">
        <v>0</v>
      </c>
      <c r="AL31" s="165"/>
      <c r="AM31" s="165"/>
      <c r="AN31" s="165"/>
      <c r="AO31" s="165"/>
      <c r="AR31" s="30"/>
    </row>
    <row r="32" spans="2:71" s="2" customFormat="1" ht="14.45" hidden="1" customHeight="1">
      <c r="B32" s="30"/>
      <c r="F32" s="23" t="s">
        <v>35</v>
      </c>
      <c r="L32" s="166">
        <v>0.15</v>
      </c>
      <c r="M32" s="165"/>
      <c r="N32" s="165"/>
      <c r="O32" s="165"/>
      <c r="P32" s="165"/>
      <c r="W32" s="164">
        <f>ROUND(BC94, 2)</f>
        <v>0</v>
      </c>
      <c r="X32" s="165"/>
      <c r="Y32" s="165"/>
      <c r="Z32" s="165"/>
      <c r="AA32" s="165"/>
      <c r="AB32" s="165"/>
      <c r="AC32" s="165"/>
      <c r="AD32" s="165"/>
      <c r="AE32" s="165"/>
      <c r="AK32" s="164">
        <v>0</v>
      </c>
      <c r="AL32" s="165"/>
      <c r="AM32" s="165"/>
      <c r="AN32" s="165"/>
      <c r="AO32" s="165"/>
      <c r="AR32" s="30"/>
    </row>
    <row r="33" spans="2:44" s="2" customFormat="1" ht="14.45" hidden="1" customHeight="1">
      <c r="B33" s="30"/>
      <c r="F33" s="23" t="s">
        <v>36</v>
      </c>
      <c r="L33" s="166">
        <v>0</v>
      </c>
      <c r="M33" s="165"/>
      <c r="N33" s="165"/>
      <c r="O33" s="165"/>
      <c r="P33" s="165"/>
      <c r="W33" s="164">
        <f>ROUND(BD94, 2)</f>
        <v>0</v>
      </c>
      <c r="X33" s="165"/>
      <c r="Y33" s="165"/>
      <c r="Z33" s="165"/>
      <c r="AA33" s="165"/>
      <c r="AB33" s="165"/>
      <c r="AC33" s="165"/>
      <c r="AD33" s="165"/>
      <c r="AE33" s="165"/>
      <c r="AK33" s="164">
        <v>0</v>
      </c>
      <c r="AL33" s="165"/>
      <c r="AM33" s="165"/>
      <c r="AN33" s="165"/>
      <c r="AO33" s="165"/>
      <c r="AR33" s="30"/>
    </row>
    <row r="34" spans="2:44" s="1" customFormat="1" ht="6.95" customHeight="1">
      <c r="B34" s="26"/>
      <c r="AR34" s="26"/>
    </row>
    <row r="35" spans="2:44" s="1" customFormat="1" ht="25.9" customHeight="1">
      <c r="B35" s="26"/>
      <c r="C35" s="31"/>
      <c r="D35" s="32" t="s">
        <v>37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38</v>
      </c>
      <c r="U35" s="33"/>
      <c r="V35" s="33"/>
      <c r="W35" s="33"/>
      <c r="X35" s="187" t="s">
        <v>39</v>
      </c>
      <c r="Y35" s="188"/>
      <c r="Z35" s="188"/>
      <c r="AA35" s="188"/>
      <c r="AB35" s="188"/>
      <c r="AC35" s="33"/>
      <c r="AD35" s="33"/>
      <c r="AE35" s="33"/>
      <c r="AF35" s="33"/>
      <c r="AG35" s="33"/>
      <c r="AH35" s="33"/>
      <c r="AI35" s="33"/>
      <c r="AJ35" s="33"/>
      <c r="AK35" s="189">
        <f>SUM(AK26:AK33)</f>
        <v>2092855.03</v>
      </c>
      <c r="AL35" s="188"/>
      <c r="AM35" s="188"/>
      <c r="AN35" s="188"/>
      <c r="AO35" s="190"/>
      <c r="AP35" s="31"/>
      <c r="AQ35" s="31"/>
      <c r="AR35" s="26"/>
    </row>
    <row r="36" spans="2:44" s="1" customFormat="1" ht="6.95" customHeight="1">
      <c r="B36" s="26"/>
      <c r="AR36" s="26"/>
    </row>
    <row r="37" spans="2:44" s="1" customFormat="1" ht="14.45" customHeight="1">
      <c r="B37" s="26"/>
      <c r="AR37" s="26"/>
    </row>
    <row r="38" spans="2:44" ht="14.45" customHeight="1">
      <c r="B38" s="17"/>
      <c r="AR38" s="17"/>
    </row>
    <row r="39" spans="2:44" ht="14.45" customHeight="1">
      <c r="B39" s="17"/>
      <c r="AR39" s="17"/>
    </row>
    <row r="40" spans="2:44" ht="14.45" customHeight="1">
      <c r="B40" s="17"/>
      <c r="AR40" s="17"/>
    </row>
    <row r="41" spans="2:44" ht="14.45" customHeight="1">
      <c r="B41" s="17"/>
      <c r="AR41" s="17"/>
    </row>
    <row r="42" spans="2:44" ht="14.45" customHeight="1">
      <c r="B42" s="17"/>
      <c r="AR42" s="17"/>
    </row>
    <row r="43" spans="2:44" ht="14.45" customHeight="1">
      <c r="B43" s="17"/>
      <c r="AR43" s="17"/>
    </row>
    <row r="44" spans="2:44" ht="14.45" customHeight="1">
      <c r="B44" s="17"/>
      <c r="AR44" s="17"/>
    </row>
    <row r="45" spans="2:44" ht="14.45" customHeight="1">
      <c r="B45" s="17"/>
      <c r="AR45" s="17"/>
    </row>
    <row r="46" spans="2:44" ht="14.45" customHeight="1">
      <c r="B46" s="17"/>
      <c r="AR46" s="17"/>
    </row>
    <row r="47" spans="2:44" ht="14.45" customHeight="1">
      <c r="B47" s="17"/>
      <c r="AR47" s="17"/>
    </row>
    <row r="48" spans="2:44" ht="14.45" customHeight="1">
      <c r="B48" s="17"/>
      <c r="AR48" s="17"/>
    </row>
    <row r="49" spans="2:44" s="1" customFormat="1" ht="14.45" customHeight="1">
      <c r="B49" s="26"/>
      <c r="D49" s="35" t="s">
        <v>40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5" t="s">
        <v>41</v>
      </c>
      <c r="AI49" s="36"/>
      <c r="AJ49" s="36"/>
      <c r="AK49" s="36"/>
      <c r="AL49" s="36"/>
      <c r="AM49" s="36"/>
      <c r="AN49" s="36"/>
      <c r="AO49" s="36"/>
      <c r="AR49" s="26"/>
    </row>
    <row r="50" spans="2:44">
      <c r="B50" s="17"/>
      <c r="AR50" s="17"/>
    </row>
    <row r="51" spans="2:44">
      <c r="B51" s="17"/>
      <c r="AR51" s="17"/>
    </row>
    <row r="52" spans="2:44">
      <c r="B52" s="17"/>
      <c r="AR52" s="17"/>
    </row>
    <row r="53" spans="2:44">
      <c r="B53" s="17"/>
      <c r="AR53" s="17"/>
    </row>
    <row r="54" spans="2:44">
      <c r="B54" s="17"/>
      <c r="AR54" s="17"/>
    </row>
    <row r="55" spans="2:44">
      <c r="B55" s="17"/>
      <c r="AR55" s="17"/>
    </row>
    <row r="56" spans="2:44">
      <c r="B56" s="17"/>
      <c r="AR56" s="17"/>
    </row>
    <row r="57" spans="2:44">
      <c r="B57" s="17"/>
      <c r="AR57" s="17"/>
    </row>
    <row r="58" spans="2:44">
      <c r="B58" s="17"/>
      <c r="AR58" s="17"/>
    </row>
    <row r="59" spans="2:44">
      <c r="B59" s="17"/>
      <c r="AR59" s="17"/>
    </row>
    <row r="60" spans="2:44" s="1" customFormat="1" ht="12.75">
      <c r="B60" s="26"/>
      <c r="D60" s="37" t="s">
        <v>42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7" t="s">
        <v>43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7" t="s">
        <v>42</v>
      </c>
      <c r="AI60" s="28"/>
      <c r="AJ60" s="28"/>
      <c r="AK60" s="28"/>
      <c r="AL60" s="28"/>
      <c r="AM60" s="37" t="s">
        <v>43</v>
      </c>
      <c r="AN60" s="28"/>
      <c r="AO60" s="28"/>
      <c r="AR60" s="26"/>
    </row>
    <row r="61" spans="2:44">
      <c r="B61" s="17"/>
      <c r="AR61" s="17"/>
    </row>
    <row r="62" spans="2:44">
      <c r="B62" s="17"/>
      <c r="AR62" s="17"/>
    </row>
    <row r="63" spans="2:44">
      <c r="B63" s="17"/>
      <c r="AR63" s="17"/>
    </row>
    <row r="64" spans="2:44" s="1" customFormat="1" ht="12.75">
      <c r="B64" s="26"/>
      <c r="D64" s="35" t="s">
        <v>44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5" t="s">
        <v>45</v>
      </c>
      <c r="AI64" s="36"/>
      <c r="AJ64" s="36"/>
      <c r="AK64" s="36"/>
      <c r="AL64" s="36"/>
      <c r="AM64" s="36"/>
      <c r="AN64" s="36"/>
      <c r="AO64" s="36"/>
      <c r="AR64" s="26"/>
    </row>
    <row r="65" spans="2:44">
      <c r="B65" s="17"/>
      <c r="AR65" s="17"/>
    </row>
    <row r="66" spans="2:44">
      <c r="B66" s="17"/>
      <c r="AR66" s="17"/>
    </row>
    <row r="67" spans="2:44">
      <c r="B67" s="17"/>
      <c r="AR67" s="17"/>
    </row>
    <row r="68" spans="2:44">
      <c r="B68" s="17"/>
      <c r="AR68" s="17"/>
    </row>
    <row r="69" spans="2:44">
      <c r="B69" s="17"/>
      <c r="AR69" s="17"/>
    </row>
    <row r="70" spans="2:44">
      <c r="B70" s="17"/>
      <c r="AR70" s="17"/>
    </row>
    <row r="71" spans="2:44">
      <c r="B71" s="17"/>
      <c r="AR71" s="17"/>
    </row>
    <row r="72" spans="2:44">
      <c r="B72" s="17"/>
      <c r="AR72" s="17"/>
    </row>
    <row r="73" spans="2:44">
      <c r="B73" s="17"/>
      <c r="AR73" s="17"/>
    </row>
    <row r="74" spans="2:44">
      <c r="B74" s="17"/>
      <c r="AR74" s="17"/>
    </row>
    <row r="75" spans="2:44" s="1" customFormat="1" ht="12.75">
      <c r="B75" s="26"/>
      <c r="D75" s="37" t="s">
        <v>42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7" t="s">
        <v>43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7" t="s">
        <v>42</v>
      </c>
      <c r="AI75" s="28"/>
      <c r="AJ75" s="28"/>
      <c r="AK75" s="28"/>
      <c r="AL75" s="28"/>
      <c r="AM75" s="37" t="s">
        <v>43</v>
      </c>
      <c r="AN75" s="28"/>
      <c r="AO75" s="28"/>
      <c r="AR75" s="26"/>
    </row>
    <row r="76" spans="2:44" s="1" customFormat="1">
      <c r="B76" s="26"/>
      <c r="AR76" s="26"/>
    </row>
    <row r="77" spans="2:44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26"/>
    </row>
    <row r="81" spans="1:91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26"/>
    </row>
    <row r="82" spans="1:91" s="1" customFormat="1" ht="24.95" customHeight="1">
      <c r="B82" s="26"/>
      <c r="C82" s="18" t="s">
        <v>46</v>
      </c>
      <c r="AR82" s="26"/>
    </row>
    <row r="83" spans="1:91" s="1" customFormat="1" ht="6.95" customHeight="1">
      <c r="B83" s="26"/>
      <c r="AR83" s="26"/>
    </row>
    <row r="84" spans="1:91" s="3" customFormat="1" ht="12" customHeight="1">
      <c r="B84" s="42"/>
      <c r="C84" s="23" t="s">
        <v>11</v>
      </c>
      <c r="L84" s="3">
        <f>K5</f>
        <v>0</v>
      </c>
      <c r="AR84" s="42"/>
    </row>
    <row r="85" spans="1:91" s="4" customFormat="1" ht="36.950000000000003" customHeight="1">
      <c r="B85" s="43"/>
      <c r="C85" s="44" t="s">
        <v>12</v>
      </c>
      <c r="L85" s="178" t="str">
        <f>K6</f>
        <v>Tenisový kurt na p.č. 570/1 v k.ú. Chrastava I</v>
      </c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R85" s="43"/>
    </row>
    <row r="86" spans="1:91" s="1" customFormat="1" ht="6.95" customHeight="1">
      <c r="B86" s="26"/>
      <c r="AR86" s="26"/>
    </row>
    <row r="87" spans="1:91" s="1" customFormat="1" ht="12" customHeight="1">
      <c r="B87" s="26"/>
      <c r="C87" s="23" t="s">
        <v>15</v>
      </c>
      <c r="L87" s="45" t="str">
        <f>IF(K8="","",K8)</f>
        <v>Chrastava</v>
      </c>
      <c r="AI87" s="23" t="s">
        <v>17</v>
      </c>
      <c r="AM87" s="180">
        <f>IF(AN8= "","",AN8)</f>
        <v>45255</v>
      </c>
      <c r="AN87" s="180"/>
      <c r="AR87" s="26"/>
    </row>
    <row r="88" spans="1:91" s="1" customFormat="1" ht="6.95" customHeight="1">
      <c r="B88" s="26"/>
      <c r="AR88" s="26"/>
    </row>
    <row r="89" spans="1:91" s="1" customFormat="1" ht="15.2" customHeight="1">
      <c r="B89" s="26"/>
      <c r="C89" s="23" t="s">
        <v>18</v>
      </c>
      <c r="L89" s="3" t="str">
        <f>IF(E11= "","",E11)</f>
        <v>TJ SPARTAK CHRASTAVA</v>
      </c>
      <c r="AI89" s="23" t="s">
        <v>23</v>
      </c>
      <c r="AM89" s="181" t="str">
        <f>IF(E17="","",E17)</f>
        <v>Ing. Daniel Fadrhonc</v>
      </c>
      <c r="AN89" s="182"/>
      <c r="AO89" s="182"/>
      <c r="AP89" s="182"/>
      <c r="AR89" s="26"/>
      <c r="AS89" s="183" t="s">
        <v>47</v>
      </c>
      <c r="AT89" s="184"/>
      <c r="AU89" s="47"/>
      <c r="AV89" s="47"/>
      <c r="AW89" s="47"/>
      <c r="AX89" s="47"/>
      <c r="AY89" s="47"/>
      <c r="AZ89" s="47"/>
      <c r="BA89" s="47"/>
      <c r="BB89" s="47"/>
      <c r="BC89" s="47"/>
      <c r="BD89" s="48"/>
    </row>
    <row r="90" spans="1:91" s="1" customFormat="1" ht="15.2" customHeight="1">
      <c r="B90" s="26"/>
      <c r="C90" s="23" t="s">
        <v>21</v>
      </c>
      <c r="L90" s="3" t="str">
        <f>IF(E14="","",E14)</f>
        <v xml:space="preserve"> </v>
      </c>
      <c r="AI90" s="23" t="s">
        <v>25</v>
      </c>
      <c r="AM90" s="181" t="str">
        <f>IF(E20="","",E20)</f>
        <v>Ing. Daniel Fadrhonc</v>
      </c>
      <c r="AN90" s="182"/>
      <c r="AO90" s="182"/>
      <c r="AP90" s="182"/>
      <c r="AR90" s="26"/>
      <c r="AS90" s="185"/>
      <c r="AT90" s="186"/>
      <c r="BD90" s="50"/>
    </row>
    <row r="91" spans="1:91" s="1" customFormat="1" ht="10.9" customHeight="1">
      <c r="B91" s="26"/>
      <c r="AR91" s="26"/>
      <c r="AS91" s="185"/>
      <c r="AT91" s="186"/>
      <c r="BD91" s="50"/>
    </row>
    <row r="92" spans="1:91" s="1" customFormat="1" ht="29.25" customHeight="1">
      <c r="B92" s="26"/>
      <c r="C92" s="173" t="s">
        <v>48</v>
      </c>
      <c r="D92" s="174"/>
      <c r="E92" s="174"/>
      <c r="F92" s="174"/>
      <c r="G92" s="174"/>
      <c r="H92" s="51"/>
      <c r="I92" s="175" t="s">
        <v>49</v>
      </c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6" t="s">
        <v>50</v>
      </c>
      <c r="AH92" s="174"/>
      <c r="AI92" s="174"/>
      <c r="AJ92" s="174"/>
      <c r="AK92" s="174"/>
      <c r="AL92" s="174"/>
      <c r="AM92" s="174"/>
      <c r="AN92" s="175" t="s">
        <v>51</v>
      </c>
      <c r="AO92" s="174"/>
      <c r="AP92" s="177"/>
      <c r="AQ92" s="52" t="s">
        <v>52</v>
      </c>
      <c r="AR92" s="26"/>
      <c r="AS92" s="53" t="s">
        <v>53</v>
      </c>
      <c r="AT92" s="54" t="s">
        <v>54</v>
      </c>
      <c r="AU92" s="54" t="s">
        <v>55</v>
      </c>
      <c r="AV92" s="54" t="s">
        <v>56</v>
      </c>
      <c r="AW92" s="54" t="s">
        <v>57</v>
      </c>
      <c r="AX92" s="54" t="s">
        <v>58</v>
      </c>
      <c r="AY92" s="54" t="s">
        <v>59</v>
      </c>
      <c r="AZ92" s="54" t="s">
        <v>60</v>
      </c>
      <c r="BA92" s="54" t="s">
        <v>61</v>
      </c>
      <c r="BB92" s="54" t="s">
        <v>62</v>
      </c>
      <c r="BC92" s="54" t="s">
        <v>63</v>
      </c>
      <c r="BD92" s="55" t="s">
        <v>64</v>
      </c>
    </row>
    <row r="93" spans="1:91" s="1" customFormat="1" ht="10.9" customHeight="1">
      <c r="B93" s="26"/>
      <c r="AR93" s="26"/>
      <c r="AS93" s="56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8"/>
    </row>
    <row r="94" spans="1:91" s="5" customFormat="1" ht="32.450000000000003" customHeight="1">
      <c r="B94" s="57"/>
      <c r="C94" s="58" t="s">
        <v>65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170">
        <f>ROUND(AG95,2)</f>
        <v>1729632.26</v>
      </c>
      <c r="AH94" s="170"/>
      <c r="AI94" s="170"/>
      <c r="AJ94" s="170"/>
      <c r="AK94" s="170"/>
      <c r="AL94" s="170"/>
      <c r="AM94" s="170"/>
      <c r="AN94" s="171">
        <f>SUM(AG94,AT94)</f>
        <v>2092855.03</v>
      </c>
      <c r="AO94" s="171"/>
      <c r="AP94" s="171"/>
      <c r="AQ94" s="61" t="s">
        <v>0</v>
      </c>
      <c r="AR94" s="57"/>
      <c r="AS94" s="62">
        <f>ROUND(AS95,2)</f>
        <v>0</v>
      </c>
      <c r="AT94" s="63">
        <f>ROUND(SUM(AV94:AW94),2)</f>
        <v>363222.77</v>
      </c>
      <c r="AU94" s="64">
        <f>ROUND(AU95,5)</f>
        <v>695.02454</v>
      </c>
      <c r="AV94" s="63">
        <f>ROUND(AZ94*L29,2)</f>
        <v>363222.77</v>
      </c>
      <c r="AW94" s="63">
        <f>ROUND(BA94*L30,2)</f>
        <v>0</v>
      </c>
      <c r="AX94" s="63">
        <f>ROUND(BB94*L29,2)</f>
        <v>0</v>
      </c>
      <c r="AY94" s="63">
        <f>ROUND(BC94*L30,2)</f>
        <v>0</v>
      </c>
      <c r="AZ94" s="63">
        <f>ROUND(AZ95,2)</f>
        <v>1729632.26</v>
      </c>
      <c r="BA94" s="63">
        <f>ROUND(BA95,2)</f>
        <v>0</v>
      </c>
      <c r="BB94" s="63">
        <f>ROUND(BB95,2)</f>
        <v>0</v>
      </c>
      <c r="BC94" s="63">
        <f>ROUND(BC95,2)</f>
        <v>0</v>
      </c>
      <c r="BD94" s="65">
        <f>ROUND(BD95,2)</f>
        <v>0</v>
      </c>
      <c r="BS94" s="66" t="s">
        <v>66</v>
      </c>
      <c r="BT94" s="66" t="s">
        <v>67</v>
      </c>
      <c r="BU94" s="67" t="s">
        <v>68</v>
      </c>
      <c r="BV94" s="66" t="s">
        <v>69</v>
      </c>
      <c r="BW94" s="66" t="s">
        <v>3</v>
      </c>
      <c r="BX94" s="66" t="s">
        <v>70</v>
      </c>
      <c r="CL94" s="66" t="s">
        <v>0</v>
      </c>
    </row>
    <row r="95" spans="1:91" s="6" customFormat="1" ht="24.75" customHeight="1">
      <c r="A95" s="68" t="s">
        <v>71</v>
      </c>
      <c r="B95" s="69"/>
      <c r="C95" s="70"/>
      <c r="D95" s="169" t="s">
        <v>72</v>
      </c>
      <c r="E95" s="169"/>
      <c r="F95" s="169"/>
      <c r="G95" s="169"/>
      <c r="H95" s="169"/>
      <c r="I95" s="71"/>
      <c r="J95" s="169" t="s">
        <v>390</v>
      </c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7">
        <f>'SO - 01 - Tenisový kurt'!J30</f>
        <v>1729632.26</v>
      </c>
      <c r="AH95" s="168"/>
      <c r="AI95" s="168"/>
      <c r="AJ95" s="168"/>
      <c r="AK95" s="168"/>
      <c r="AL95" s="168"/>
      <c r="AM95" s="168"/>
      <c r="AN95" s="167">
        <f>SUM(AG95,AT95)</f>
        <v>2092855.03</v>
      </c>
      <c r="AO95" s="168"/>
      <c r="AP95" s="168"/>
      <c r="AQ95" s="72" t="s">
        <v>73</v>
      </c>
      <c r="AR95" s="69"/>
      <c r="AS95" s="73">
        <v>0</v>
      </c>
      <c r="AT95" s="74">
        <f>ROUND(SUM(AV95:AW95),2)</f>
        <v>363222.77</v>
      </c>
      <c r="AU95" s="75">
        <f>'SO - 01 - Tenisový kurt'!P133</f>
        <v>695.02454192499999</v>
      </c>
      <c r="AV95" s="74">
        <f>'SO - 01 - Tenisový kurt'!J33</f>
        <v>363222.77</v>
      </c>
      <c r="AW95" s="74">
        <f>'SO - 01 - Tenisový kurt'!J34</f>
        <v>0</v>
      </c>
      <c r="AX95" s="74">
        <f>'SO - 01 - Tenisový kurt'!J35</f>
        <v>0</v>
      </c>
      <c r="AY95" s="74">
        <f>'SO - 01 - Tenisový kurt'!J36</f>
        <v>0</v>
      </c>
      <c r="AZ95" s="74">
        <f>'SO - 01 - Tenisový kurt'!F33</f>
        <v>1729632.26</v>
      </c>
      <c r="BA95" s="74">
        <f>'SO - 01 - Tenisový kurt'!F34</f>
        <v>0</v>
      </c>
      <c r="BB95" s="74">
        <f>'SO - 01 - Tenisový kurt'!F35</f>
        <v>0</v>
      </c>
      <c r="BC95" s="74">
        <f>'SO - 01 - Tenisový kurt'!F36</f>
        <v>0</v>
      </c>
      <c r="BD95" s="76">
        <f>'SO - 01 - Tenisový kurt'!F37</f>
        <v>0</v>
      </c>
      <c r="BT95" s="77" t="s">
        <v>74</v>
      </c>
      <c r="BV95" s="77" t="s">
        <v>69</v>
      </c>
      <c r="BW95" s="77" t="s">
        <v>75</v>
      </c>
      <c r="BX95" s="77" t="s">
        <v>3</v>
      </c>
      <c r="CL95" s="77" t="s">
        <v>0</v>
      </c>
      <c r="CM95" s="77" t="s">
        <v>76</v>
      </c>
    </row>
    <row r="96" spans="1:91" s="1" customFormat="1" ht="30" customHeight="1">
      <c r="B96" s="26"/>
      <c r="AR96" s="26"/>
    </row>
    <row r="97" spans="2:44" s="1" customFormat="1" ht="6.95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 - 01 - Volejbalové a t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16"/>
  <sheetViews>
    <sheetView showGridLines="0" topLeftCell="A170" workbookViewId="0">
      <selection activeCell="I182" sqref="I18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75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2:46" ht="24.95" customHeight="1">
      <c r="B4" s="17"/>
      <c r="D4" s="18" t="s">
        <v>77</v>
      </c>
      <c r="L4" s="17"/>
      <c r="M4" s="78" t="s">
        <v>9</v>
      </c>
      <c r="AT4" s="14" t="s">
        <v>2</v>
      </c>
    </row>
    <row r="5" spans="2:46" ht="6.95" customHeight="1">
      <c r="B5" s="17"/>
      <c r="L5" s="17"/>
    </row>
    <row r="6" spans="2:46" ht="12" customHeight="1">
      <c r="B6" s="17"/>
      <c r="D6" s="23" t="s">
        <v>12</v>
      </c>
      <c r="L6" s="17"/>
    </row>
    <row r="7" spans="2:46" ht="16.5" customHeight="1">
      <c r="B7" s="17"/>
      <c r="E7" s="193" t="str">
        <f>'Rekapitulace stavby'!K6</f>
        <v>Tenisový kurt na p.č. 570/1 v k.ú. Chrastava I</v>
      </c>
      <c r="F7" s="194"/>
      <c r="G7" s="194"/>
      <c r="H7" s="194"/>
      <c r="L7" s="17"/>
    </row>
    <row r="8" spans="2:46" s="1" customFormat="1" ht="12" customHeight="1">
      <c r="B8" s="26"/>
      <c r="D8" s="23" t="s">
        <v>78</v>
      </c>
      <c r="L8" s="26"/>
    </row>
    <row r="9" spans="2:46" s="1" customFormat="1" ht="16.5" customHeight="1">
      <c r="B9" s="26"/>
      <c r="E9" s="178" t="s">
        <v>391</v>
      </c>
      <c r="F9" s="192"/>
      <c r="G9" s="192"/>
      <c r="H9" s="192"/>
      <c r="L9" s="26"/>
    </row>
    <row r="10" spans="2:46" s="1" customFormat="1">
      <c r="B10" s="26"/>
      <c r="L10" s="26"/>
    </row>
    <row r="11" spans="2:46" s="1" customFormat="1" ht="12" customHeight="1">
      <c r="B11" s="26"/>
      <c r="D11" s="23" t="s">
        <v>13</v>
      </c>
      <c r="F11" s="21" t="s">
        <v>0</v>
      </c>
      <c r="I11" s="23" t="s">
        <v>14</v>
      </c>
      <c r="J11" s="21" t="s">
        <v>0</v>
      </c>
      <c r="L11" s="26"/>
    </row>
    <row r="12" spans="2:46" s="1" customFormat="1" ht="12" customHeight="1">
      <c r="B12" s="26"/>
      <c r="D12" s="23" t="s">
        <v>15</v>
      </c>
      <c r="F12" s="21" t="s">
        <v>16</v>
      </c>
      <c r="I12" s="23" t="s">
        <v>17</v>
      </c>
      <c r="J12" s="46">
        <f>'Rekapitulace stavby'!AN8</f>
        <v>45255</v>
      </c>
      <c r="L12" s="26"/>
    </row>
    <row r="13" spans="2:46" s="1" customFormat="1" ht="10.9" customHeight="1">
      <c r="B13" s="26"/>
      <c r="L13" s="26"/>
    </row>
    <row r="14" spans="2:46" s="1" customFormat="1" ht="12" customHeight="1">
      <c r="B14" s="26"/>
      <c r="D14" s="23" t="s">
        <v>18</v>
      </c>
      <c r="I14" s="23" t="s">
        <v>19</v>
      </c>
      <c r="J14" s="21" t="s">
        <v>0</v>
      </c>
      <c r="L14" s="26"/>
    </row>
    <row r="15" spans="2:46" s="1" customFormat="1" ht="18" customHeight="1">
      <c r="B15" s="26"/>
      <c r="E15" s="21" t="s">
        <v>387</v>
      </c>
      <c r="I15" s="23" t="s">
        <v>20</v>
      </c>
      <c r="J15" s="21" t="s">
        <v>0</v>
      </c>
      <c r="L15" s="26"/>
    </row>
    <row r="16" spans="2:46" s="1" customFormat="1" ht="6.95" customHeight="1">
      <c r="B16" s="26"/>
      <c r="L16" s="26"/>
    </row>
    <row r="17" spans="2:12" s="1" customFormat="1" ht="12" customHeight="1">
      <c r="B17" s="26"/>
      <c r="D17" s="23" t="s">
        <v>21</v>
      </c>
      <c r="I17" s="23" t="s">
        <v>19</v>
      </c>
      <c r="J17" s="21" t="str">
        <f>'Rekapitulace stavby'!AN13</f>
        <v/>
      </c>
      <c r="L17" s="26"/>
    </row>
    <row r="18" spans="2:12" s="1" customFormat="1" ht="18" customHeight="1">
      <c r="B18" s="26"/>
      <c r="E18" s="157" t="str">
        <f>'Rekapitulace stavby'!E14</f>
        <v xml:space="preserve"> </v>
      </c>
      <c r="F18" s="157"/>
      <c r="G18" s="157"/>
      <c r="H18" s="157"/>
      <c r="I18" s="23" t="s">
        <v>20</v>
      </c>
      <c r="J18" s="21" t="str">
        <f>'Rekapitulace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3" t="s">
        <v>23</v>
      </c>
      <c r="I20" s="23" t="s">
        <v>19</v>
      </c>
      <c r="J20" s="21" t="s">
        <v>0</v>
      </c>
      <c r="L20" s="26"/>
    </row>
    <row r="21" spans="2:12" s="1" customFormat="1" ht="18" customHeight="1">
      <c r="B21" s="26"/>
      <c r="E21" s="21" t="s">
        <v>388</v>
      </c>
      <c r="I21" s="23" t="s">
        <v>20</v>
      </c>
      <c r="J21" s="21" t="s">
        <v>0</v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3" t="s">
        <v>25</v>
      </c>
      <c r="I23" s="23" t="s">
        <v>19</v>
      </c>
      <c r="J23" s="21" t="s">
        <v>0</v>
      </c>
      <c r="L23" s="26"/>
    </row>
    <row r="24" spans="2:12" s="1" customFormat="1" ht="18" customHeight="1">
      <c r="B24" s="26"/>
      <c r="E24" s="21" t="s">
        <v>388</v>
      </c>
      <c r="I24" s="23" t="s">
        <v>20</v>
      </c>
      <c r="J24" s="21" t="s">
        <v>0</v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3" t="s">
        <v>26</v>
      </c>
      <c r="L26" s="26"/>
    </row>
    <row r="27" spans="2:12" s="7" customFormat="1" ht="16.5" customHeight="1">
      <c r="B27" s="79"/>
      <c r="E27" s="160" t="s">
        <v>0</v>
      </c>
      <c r="F27" s="160"/>
      <c r="G27" s="160"/>
      <c r="H27" s="160"/>
      <c r="L27" s="79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7"/>
      <c r="E29" s="47"/>
      <c r="F29" s="47"/>
      <c r="G29" s="47"/>
      <c r="H29" s="47"/>
      <c r="I29" s="47"/>
      <c r="J29" s="47"/>
      <c r="K29" s="47"/>
      <c r="L29" s="26"/>
    </row>
    <row r="30" spans="2:12" s="1" customFormat="1" ht="25.35" customHeight="1">
      <c r="B30" s="26"/>
      <c r="D30" s="80" t="s">
        <v>27</v>
      </c>
      <c r="J30" s="60">
        <f>ROUND(J133, 2)</f>
        <v>1729632.26</v>
      </c>
      <c r="L30" s="26"/>
    </row>
    <row r="31" spans="2:12" s="1" customFormat="1" ht="6.95" customHeight="1">
      <c r="B31" s="26"/>
      <c r="D31" s="47"/>
      <c r="E31" s="47"/>
      <c r="F31" s="47"/>
      <c r="G31" s="47"/>
      <c r="H31" s="47"/>
      <c r="I31" s="47"/>
      <c r="J31" s="47"/>
      <c r="K31" s="47"/>
      <c r="L31" s="26"/>
    </row>
    <row r="32" spans="2:12" s="1" customFormat="1" ht="14.45" customHeight="1">
      <c r="B32" s="26"/>
      <c r="F32" s="29" t="s">
        <v>29</v>
      </c>
      <c r="I32" s="29" t="s">
        <v>28</v>
      </c>
      <c r="J32" s="29" t="s">
        <v>30</v>
      </c>
      <c r="L32" s="26"/>
    </row>
    <row r="33" spans="2:12" s="1" customFormat="1" ht="14.45" customHeight="1">
      <c r="B33" s="26"/>
      <c r="D33" s="49" t="s">
        <v>31</v>
      </c>
      <c r="E33" s="23" t="s">
        <v>32</v>
      </c>
      <c r="F33" s="81">
        <f>ROUND((SUM(BE133:BE215)),  2)</f>
        <v>1729632.26</v>
      </c>
      <c r="I33" s="82">
        <v>0.21</v>
      </c>
      <c r="J33" s="81">
        <f>ROUND(((SUM(BE133:BE215))*I33),  2)</f>
        <v>363222.77</v>
      </c>
      <c r="L33" s="26"/>
    </row>
    <row r="34" spans="2:12" s="1" customFormat="1" ht="14.45" customHeight="1">
      <c r="B34" s="26"/>
      <c r="E34" s="23" t="s">
        <v>33</v>
      </c>
      <c r="F34" s="81">
        <f>ROUND((SUM(BF133:BF215)),  2)</f>
        <v>0</v>
      </c>
      <c r="I34" s="82">
        <v>0.15</v>
      </c>
      <c r="J34" s="81">
        <f>ROUND(((SUM(BF133:BF215))*I34),  2)</f>
        <v>0</v>
      </c>
      <c r="L34" s="26"/>
    </row>
    <row r="35" spans="2:12" s="1" customFormat="1" ht="14.45" hidden="1" customHeight="1">
      <c r="B35" s="26"/>
      <c r="E35" s="23" t="s">
        <v>34</v>
      </c>
      <c r="F35" s="81">
        <f>ROUND((SUM(BG133:BG215)),  2)</f>
        <v>0</v>
      </c>
      <c r="I35" s="82">
        <v>0.21</v>
      </c>
      <c r="J35" s="81">
        <f>0</f>
        <v>0</v>
      </c>
      <c r="L35" s="26"/>
    </row>
    <row r="36" spans="2:12" s="1" customFormat="1" ht="14.45" hidden="1" customHeight="1">
      <c r="B36" s="26"/>
      <c r="E36" s="23" t="s">
        <v>35</v>
      </c>
      <c r="F36" s="81">
        <f>ROUND((SUM(BH133:BH215)),  2)</f>
        <v>0</v>
      </c>
      <c r="I36" s="82">
        <v>0.15</v>
      </c>
      <c r="J36" s="81">
        <f>0</f>
        <v>0</v>
      </c>
      <c r="L36" s="26"/>
    </row>
    <row r="37" spans="2:12" s="1" customFormat="1" ht="14.45" hidden="1" customHeight="1">
      <c r="B37" s="26"/>
      <c r="E37" s="23" t="s">
        <v>36</v>
      </c>
      <c r="F37" s="81">
        <f>ROUND((SUM(BI133:BI215)),  2)</f>
        <v>0</v>
      </c>
      <c r="I37" s="82">
        <v>0</v>
      </c>
      <c r="J37" s="81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3"/>
      <c r="D39" s="84" t="s">
        <v>37</v>
      </c>
      <c r="E39" s="51"/>
      <c r="F39" s="51"/>
      <c r="G39" s="85" t="s">
        <v>38</v>
      </c>
      <c r="H39" s="86" t="s">
        <v>39</v>
      </c>
      <c r="I39" s="51"/>
      <c r="J39" s="87">
        <f>SUM(J30:J37)</f>
        <v>2092855.03</v>
      </c>
      <c r="K39" s="88"/>
      <c r="L39" s="26"/>
    </row>
    <row r="40" spans="2:12" s="1" customFormat="1" ht="14.45" customHeight="1">
      <c r="B40" s="26"/>
      <c r="L40" s="26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6"/>
      <c r="D50" s="35" t="s">
        <v>40</v>
      </c>
      <c r="E50" s="36"/>
      <c r="F50" s="36"/>
      <c r="G50" s="35" t="s">
        <v>41</v>
      </c>
      <c r="H50" s="36"/>
      <c r="I50" s="36"/>
      <c r="J50" s="36"/>
      <c r="K50" s="36"/>
      <c r="L50" s="26"/>
    </row>
    <row r="51" spans="2:12">
      <c r="B51" s="17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1" customFormat="1" ht="12.75">
      <c r="B61" s="26"/>
      <c r="D61" s="37" t="s">
        <v>42</v>
      </c>
      <c r="E61" s="28"/>
      <c r="F61" s="89" t="s">
        <v>43</v>
      </c>
      <c r="G61" s="37" t="s">
        <v>42</v>
      </c>
      <c r="H61" s="28"/>
      <c r="I61" s="28"/>
      <c r="J61" s="90" t="s">
        <v>43</v>
      </c>
      <c r="K61" s="28"/>
      <c r="L61" s="26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1" customFormat="1" ht="12.75">
      <c r="B65" s="26"/>
      <c r="D65" s="35" t="s">
        <v>44</v>
      </c>
      <c r="E65" s="36"/>
      <c r="F65" s="36"/>
      <c r="G65" s="35" t="s">
        <v>45</v>
      </c>
      <c r="H65" s="36"/>
      <c r="I65" s="36"/>
      <c r="J65" s="36"/>
      <c r="K65" s="36"/>
      <c r="L65" s="26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1" customFormat="1" ht="12.75">
      <c r="B76" s="26"/>
      <c r="D76" s="37" t="s">
        <v>42</v>
      </c>
      <c r="E76" s="28"/>
      <c r="F76" s="89" t="s">
        <v>43</v>
      </c>
      <c r="G76" s="37" t="s">
        <v>42</v>
      </c>
      <c r="H76" s="28"/>
      <c r="I76" s="28"/>
      <c r="J76" s="90" t="s">
        <v>43</v>
      </c>
      <c r="K76" s="28"/>
      <c r="L76" s="26"/>
    </row>
    <row r="77" spans="2:12" s="1" customFormat="1" ht="14.4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26"/>
    </row>
    <row r="81" spans="2:47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26"/>
    </row>
    <row r="82" spans="2:47" s="1" customFormat="1" ht="24.95" customHeight="1">
      <c r="B82" s="26"/>
      <c r="C82" s="18" t="s">
        <v>79</v>
      </c>
      <c r="L82" s="26"/>
    </row>
    <row r="83" spans="2:47" s="1" customFormat="1" ht="6.95" customHeight="1">
      <c r="B83" s="26"/>
      <c r="L83" s="26"/>
    </row>
    <row r="84" spans="2:47" s="1" customFormat="1" ht="12" customHeight="1">
      <c r="B84" s="26"/>
      <c r="C84" s="23" t="s">
        <v>12</v>
      </c>
      <c r="L84" s="26"/>
    </row>
    <row r="85" spans="2:47" s="1" customFormat="1" ht="16.5" customHeight="1">
      <c r="B85" s="26"/>
      <c r="E85" s="193" t="str">
        <f>E7</f>
        <v>Tenisový kurt na p.č. 570/1 v k.ú. Chrastava I</v>
      </c>
      <c r="F85" s="194"/>
      <c r="G85" s="194"/>
      <c r="H85" s="194"/>
      <c r="L85" s="26"/>
    </row>
    <row r="86" spans="2:47" s="1" customFormat="1" ht="12" customHeight="1">
      <c r="B86" s="26"/>
      <c r="C86" s="23" t="s">
        <v>78</v>
      </c>
      <c r="L86" s="26"/>
    </row>
    <row r="87" spans="2:47" s="1" customFormat="1" ht="16.5" customHeight="1">
      <c r="B87" s="26"/>
      <c r="E87" s="178" t="str">
        <f>E9</f>
        <v>SO - 01 - Tenisový kurt</v>
      </c>
      <c r="F87" s="192"/>
      <c r="G87" s="192"/>
      <c r="H87" s="192"/>
      <c r="L87" s="26"/>
    </row>
    <row r="88" spans="2:47" s="1" customFormat="1" ht="6.95" customHeight="1">
      <c r="B88" s="26"/>
      <c r="L88" s="26"/>
    </row>
    <row r="89" spans="2:47" s="1" customFormat="1" ht="12" customHeight="1">
      <c r="B89" s="26"/>
      <c r="C89" s="23" t="s">
        <v>15</v>
      </c>
      <c r="F89" s="21" t="str">
        <f>F12</f>
        <v>Chrastava</v>
      </c>
      <c r="I89" s="23" t="s">
        <v>17</v>
      </c>
      <c r="J89" s="46">
        <f>IF(J12="","",J12)</f>
        <v>45255</v>
      </c>
      <c r="L89" s="26"/>
    </row>
    <row r="90" spans="2:47" s="1" customFormat="1" ht="6.95" customHeight="1">
      <c r="B90" s="26"/>
      <c r="L90" s="26"/>
    </row>
    <row r="91" spans="2:47" s="1" customFormat="1" ht="25.7" customHeight="1">
      <c r="B91" s="26"/>
      <c r="C91" s="23" t="s">
        <v>18</v>
      </c>
      <c r="F91" s="21" t="s">
        <v>387</v>
      </c>
      <c r="I91" s="23" t="s">
        <v>23</v>
      </c>
      <c r="J91" s="24" t="s">
        <v>388</v>
      </c>
      <c r="L91" s="26"/>
    </row>
    <row r="92" spans="2:47" s="1" customFormat="1" ht="15.2" customHeight="1">
      <c r="B92" s="26"/>
      <c r="C92" s="23" t="s">
        <v>21</v>
      </c>
      <c r="F92" s="21" t="str">
        <f>IF(E18="","",E18)</f>
        <v xml:space="preserve"> </v>
      </c>
      <c r="I92" s="23" t="s">
        <v>25</v>
      </c>
      <c r="J92" s="24" t="s">
        <v>388</v>
      </c>
      <c r="L92" s="26"/>
    </row>
    <row r="93" spans="2:47" s="1" customFormat="1" ht="10.35" customHeight="1">
      <c r="B93" s="26"/>
      <c r="L93" s="26"/>
    </row>
    <row r="94" spans="2:47" s="1" customFormat="1" ht="29.25" customHeight="1">
      <c r="B94" s="26"/>
      <c r="C94" s="91" t="s">
        <v>80</v>
      </c>
      <c r="D94" s="83"/>
      <c r="E94" s="83"/>
      <c r="F94" s="83"/>
      <c r="G94" s="83"/>
      <c r="H94" s="83"/>
      <c r="I94" s="83"/>
      <c r="J94" s="92" t="s">
        <v>81</v>
      </c>
      <c r="K94" s="83"/>
      <c r="L94" s="26"/>
    </row>
    <row r="95" spans="2:47" s="1" customFormat="1" ht="10.35" customHeight="1">
      <c r="B95" s="26"/>
      <c r="L95" s="26"/>
    </row>
    <row r="96" spans="2:47" s="1" customFormat="1" ht="22.9" customHeight="1">
      <c r="B96" s="26"/>
      <c r="C96" s="93" t="s">
        <v>82</v>
      </c>
      <c r="J96" s="60">
        <f>J133</f>
        <v>1729632.2599999998</v>
      </c>
      <c r="L96" s="26"/>
      <c r="AU96" s="14" t="s">
        <v>83</v>
      </c>
    </row>
    <row r="97" spans="2:12" s="8" customFormat="1" ht="24.95" customHeight="1">
      <c r="B97" s="94"/>
      <c r="D97" s="95" t="s">
        <v>84</v>
      </c>
      <c r="E97" s="96"/>
      <c r="F97" s="96"/>
      <c r="G97" s="96"/>
      <c r="H97" s="96"/>
      <c r="I97" s="96"/>
      <c r="J97" s="97">
        <f>J134</f>
        <v>1186494.69</v>
      </c>
      <c r="L97" s="94"/>
    </row>
    <row r="98" spans="2:12" s="9" customFormat="1" ht="19.899999999999999" customHeight="1">
      <c r="B98" s="98"/>
      <c r="D98" s="99" t="s">
        <v>85</v>
      </c>
      <c r="E98" s="100"/>
      <c r="F98" s="100"/>
      <c r="G98" s="100"/>
      <c r="H98" s="100"/>
      <c r="I98" s="100"/>
      <c r="J98" s="101">
        <f>J135</f>
        <v>180242.11000000002</v>
      </c>
      <c r="L98" s="98"/>
    </row>
    <row r="99" spans="2:12" s="9" customFormat="1" ht="19.899999999999999" customHeight="1">
      <c r="B99" s="98"/>
      <c r="D99" s="99" t="s">
        <v>86</v>
      </c>
      <c r="E99" s="100"/>
      <c r="F99" s="100"/>
      <c r="G99" s="100"/>
      <c r="H99" s="100"/>
      <c r="I99" s="100"/>
      <c r="J99" s="101">
        <f>J156</f>
        <v>17845.25</v>
      </c>
      <c r="L99" s="98"/>
    </row>
    <row r="100" spans="2:12" s="9" customFormat="1" ht="19.899999999999999" customHeight="1">
      <c r="B100" s="98"/>
      <c r="D100" s="99" t="s">
        <v>87</v>
      </c>
      <c r="E100" s="100"/>
      <c r="F100" s="100"/>
      <c r="G100" s="100"/>
      <c r="H100" s="100"/>
      <c r="I100" s="100"/>
      <c r="J100" s="101">
        <f>J158</f>
        <v>209153.13</v>
      </c>
      <c r="L100" s="98"/>
    </row>
    <row r="101" spans="2:12" s="9" customFormat="1" ht="19.899999999999999" customHeight="1">
      <c r="B101" s="98"/>
      <c r="D101" s="99" t="s">
        <v>88</v>
      </c>
      <c r="E101" s="100"/>
      <c r="F101" s="100"/>
      <c r="G101" s="100"/>
      <c r="H101" s="100"/>
      <c r="I101" s="100"/>
      <c r="J101" s="101">
        <f>J170</f>
        <v>691002.8</v>
      </c>
      <c r="L101" s="98"/>
    </row>
    <row r="102" spans="2:12" s="9" customFormat="1" ht="19.899999999999999" customHeight="1">
      <c r="B102" s="98"/>
      <c r="D102" s="99" t="s">
        <v>89</v>
      </c>
      <c r="E102" s="100"/>
      <c r="F102" s="100"/>
      <c r="G102" s="100"/>
      <c r="H102" s="100"/>
      <c r="I102" s="100"/>
      <c r="J102" s="101">
        <f>J178</f>
        <v>8865</v>
      </c>
      <c r="L102" s="98"/>
    </row>
    <row r="103" spans="2:12" s="9" customFormat="1" ht="19.899999999999999" customHeight="1">
      <c r="B103" s="98"/>
      <c r="D103" s="99" t="s">
        <v>90</v>
      </c>
      <c r="E103" s="100"/>
      <c r="F103" s="100"/>
      <c r="G103" s="100"/>
      <c r="H103" s="100"/>
      <c r="I103" s="100"/>
      <c r="J103" s="101">
        <f>J180</f>
        <v>78590.399999999994</v>
      </c>
      <c r="L103" s="98"/>
    </row>
    <row r="104" spans="2:12" s="9" customFormat="1" ht="19.899999999999999" customHeight="1">
      <c r="B104" s="98"/>
      <c r="D104" s="99" t="s">
        <v>91</v>
      </c>
      <c r="E104" s="100"/>
      <c r="F104" s="100"/>
      <c r="G104" s="100"/>
      <c r="H104" s="100"/>
      <c r="I104" s="100"/>
      <c r="J104" s="101">
        <f>J189</f>
        <v>696</v>
      </c>
      <c r="L104" s="98"/>
    </row>
    <row r="105" spans="2:12" s="9" customFormat="1" ht="19.899999999999999" customHeight="1">
      <c r="B105" s="98"/>
      <c r="D105" s="99" t="s">
        <v>92</v>
      </c>
      <c r="E105" s="100"/>
      <c r="F105" s="100"/>
      <c r="G105" s="100"/>
      <c r="H105" s="100"/>
      <c r="I105" s="100"/>
      <c r="J105" s="101">
        <f>J191</f>
        <v>100</v>
      </c>
      <c r="L105" s="98"/>
    </row>
    <row r="106" spans="2:12" s="8" customFormat="1" ht="24.95" customHeight="1">
      <c r="B106" s="94"/>
      <c r="D106" s="95" t="s">
        <v>93</v>
      </c>
      <c r="E106" s="96"/>
      <c r="F106" s="96"/>
      <c r="G106" s="96"/>
      <c r="H106" s="96"/>
      <c r="I106" s="96"/>
      <c r="J106" s="97">
        <f>J193</f>
        <v>463137.56999999995</v>
      </c>
      <c r="L106" s="94"/>
    </row>
    <row r="107" spans="2:12" s="9" customFormat="1" ht="19.899999999999999" customHeight="1">
      <c r="B107" s="98"/>
      <c r="D107" s="99" t="s">
        <v>94</v>
      </c>
      <c r="E107" s="100"/>
      <c r="F107" s="100"/>
      <c r="G107" s="100"/>
      <c r="H107" s="100"/>
      <c r="I107" s="100"/>
      <c r="J107" s="101">
        <f>J194</f>
        <v>391530.06999999995</v>
      </c>
      <c r="L107" s="98"/>
    </row>
    <row r="108" spans="2:12" s="9" customFormat="1" ht="19.899999999999999" customHeight="1">
      <c r="B108" s="98"/>
      <c r="D108" s="99" t="s">
        <v>95</v>
      </c>
      <c r="E108" s="100"/>
      <c r="F108" s="100"/>
      <c r="G108" s="100"/>
      <c r="H108" s="100"/>
      <c r="I108" s="100"/>
      <c r="J108" s="101">
        <f>J201</f>
        <v>71607.5</v>
      </c>
      <c r="L108" s="98"/>
    </row>
    <row r="109" spans="2:12" s="8" customFormat="1" ht="24.95" customHeight="1">
      <c r="B109" s="94"/>
      <c r="D109" s="95" t="s">
        <v>96</v>
      </c>
      <c r="E109" s="96"/>
      <c r="F109" s="96"/>
      <c r="G109" s="96"/>
      <c r="H109" s="96"/>
      <c r="I109" s="96"/>
      <c r="J109" s="97">
        <f>J207</f>
        <v>80000</v>
      </c>
      <c r="L109" s="94"/>
    </row>
    <row r="110" spans="2:12" s="9" customFormat="1" ht="19.899999999999999" customHeight="1">
      <c r="B110" s="98"/>
      <c r="D110" s="99" t="s">
        <v>97</v>
      </c>
      <c r="E110" s="100"/>
      <c r="F110" s="100"/>
      <c r="G110" s="100"/>
      <c r="H110" s="100"/>
      <c r="I110" s="100"/>
      <c r="J110" s="101">
        <f>J208</f>
        <v>15000</v>
      </c>
      <c r="L110" s="98"/>
    </row>
    <row r="111" spans="2:12" s="9" customFormat="1" ht="19.899999999999999" customHeight="1">
      <c r="B111" s="98"/>
      <c r="D111" s="99" t="s">
        <v>98</v>
      </c>
      <c r="E111" s="100"/>
      <c r="F111" s="100"/>
      <c r="G111" s="100"/>
      <c r="H111" s="100"/>
      <c r="I111" s="100"/>
      <c r="J111" s="101">
        <f>J210</f>
        <v>25000</v>
      </c>
      <c r="L111" s="98"/>
    </row>
    <row r="112" spans="2:12" s="9" customFormat="1" ht="19.899999999999999" customHeight="1">
      <c r="B112" s="98"/>
      <c r="D112" s="99" t="s">
        <v>99</v>
      </c>
      <c r="E112" s="100"/>
      <c r="F112" s="100"/>
      <c r="G112" s="100"/>
      <c r="H112" s="100"/>
      <c r="I112" s="100"/>
      <c r="J112" s="101">
        <f>J212</f>
        <v>20000</v>
      </c>
      <c r="L112" s="98"/>
    </row>
    <row r="113" spans="2:12" s="9" customFormat="1" ht="19.899999999999999" customHeight="1">
      <c r="B113" s="98"/>
      <c r="D113" s="99" t="s">
        <v>100</v>
      </c>
      <c r="E113" s="100"/>
      <c r="F113" s="100"/>
      <c r="G113" s="100"/>
      <c r="H113" s="100"/>
      <c r="I113" s="100"/>
      <c r="J113" s="101">
        <f>J214</f>
        <v>20000</v>
      </c>
      <c r="L113" s="98"/>
    </row>
    <row r="114" spans="2:12" s="1" customFormat="1" ht="21.75" customHeight="1">
      <c r="B114" s="26"/>
      <c r="L114" s="26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26"/>
    </row>
    <row r="119" spans="2:12" s="1" customFormat="1" ht="6.95" customHeight="1"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26"/>
    </row>
    <row r="120" spans="2:12" s="1" customFormat="1" ht="24.95" customHeight="1">
      <c r="B120" s="26"/>
      <c r="C120" s="18" t="s">
        <v>101</v>
      </c>
      <c r="L120" s="26"/>
    </row>
    <row r="121" spans="2:12" s="1" customFormat="1" ht="6.95" customHeight="1">
      <c r="B121" s="26"/>
      <c r="L121" s="26"/>
    </row>
    <row r="122" spans="2:12" s="1" customFormat="1" ht="12" customHeight="1">
      <c r="B122" s="26"/>
      <c r="C122" s="23" t="s">
        <v>12</v>
      </c>
      <c r="L122" s="26"/>
    </row>
    <row r="123" spans="2:12" s="1" customFormat="1" ht="16.5" customHeight="1">
      <c r="B123" s="26"/>
      <c r="E123" s="193" t="str">
        <f>E7</f>
        <v>Tenisový kurt na p.č. 570/1 v k.ú. Chrastava I</v>
      </c>
      <c r="F123" s="194"/>
      <c r="G123" s="194"/>
      <c r="H123" s="194"/>
      <c r="L123" s="26"/>
    </row>
    <row r="124" spans="2:12" s="1" customFormat="1" ht="12" customHeight="1">
      <c r="B124" s="26"/>
      <c r="C124" s="23" t="s">
        <v>78</v>
      </c>
      <c r="L124" s="26"/>
    </row>
    <row r="125" spans="2:12" s="1" customFormat="1" ht="16.5" customHeight="1">
      <c r="B125" s="26"/>
      <c r="E125" s="178" t="str">
        <f>E9</f>
        <v>SO - 01 - Tenisový kurt</v>
      </c>
      <c r="F125" s="192"/>
      <c r="G125" s="192"/>
      <c r="H125" s="192"/>
      <c r="L125" s="26"/>
    </row>
    <row r="126" spans="2:12" s="1" customFormat="1" ht="6.95" customHeight="1">
      <c r="B126" s="26"/>
      <c r="L126" s="26"/>
    </row>
    <row r="127" spans="2:12" s="1" customFormat="1" ht="12" customHeight="1">
      <c r="B127" s="26"/>
      <c r="C127" s="23" t="s">
        <v>15</v>
      </c>
      <c r="F127" s="21" t="str">
        <f>F12</f>
        <v>Chrastava</v>
      </c>
      <c r="I127" s="23" t="s">
        <v>17</v>
      </c>
      <c r="J127" s="46">
        <f>IF(J12="","",J12)</f>
        <v>45255</v>
      </c>
      <c r="L127" s="26"/>
    </row>
    <row r="128" spans="2:12" s="1" customFormat="1" ht="6.95" customHeight="1">
      <c r="B128" s="26"/>
      <c r="L128" s="26"/>
    </row>
    <row r="129" spans="2:65" s="1" customFormat="1" ht="25.7" customHeight="1">
      <c r="B129" s="26"/>
      <c r="C129" s="23" t="s">
        <v>18</v>
      </c>
      <c r="F129" s="21" t="s">
        <v>387</v>
      </c>
      <c r="I129" s="23" t="s">
        <v>23</v>
      </c>
      <c r="J129" s="24" t="s">
        <v>388</v>
      </c>
      <c r="L129" s="26"/>
    </row>
    <row r="130" spans="2:65" s="1" customFormat="1" ht="15.2" customHeight="1">
      <c r="B130" s="26"/>
      <c r="C130" s="23" t="s">
        <v>21</v>
      </c>
      <c r="F130" s="21" t="str">
        <f>IF(E18="","",E18)</f>
        <v xml:space="preserve"> </v>
      </c>
      <c r="I130" s="23" t="s">
        <v>25</v>
      </c>
      <c r="J130" s="24" t="s">
        <v>388</v>
      </c>
      <c r="L130" s="26"/>
    </row>
    <row r="131" spans="2:65" s="1" customFormat="1" ht="10.35" customHeight="1">
      <c r="B131" s="26"/>
      <c r="L131" s="26"/>
    </row>
    <row r="132" spans="2:65" s="10" customFormat="1" ht="29.25" customHeight="1">
      <c r="B132" s="102"/>
      <c r="C132" s="103" t="s">
        <v>102</v>
      </c>
      <c r="D132" s="104" t="s">
        <v>52</v>
      </c>
      <c r="E132" s="104" t="s">
        <v>48</v>
      </c>
      <c r="F132" s="104" t="s">
        <v>49</v>
      </c>
      <c r="G132" s="104" t="s">
        <v>103</v>
      </c>
      <c r="H132" s="104" t="s">
        <v>104</v>
      </c>
      <c r="I132" s="104" t="s">
        <v>105</v>
      </c>
      <c r="J132" s="105" t="s">
        <v>81</v>
      </c>
      <c r="K132" s="106" t="s">
        <v>106</v>
      </c>
      <c r="L132" s="102"/>
      <c r="M132" s="53" t="s">
        <v>0</v>
      </c>
      <c r="N132" s="54" t="s">
        <v>31</v>
      </c>
      <c r="O132" s="54" t="s">
        <v>107</v>
      </c>
      <c r="P132" s="54" t="s">
        <v>108</v>
      </c>
      <c r="Q132" s="54" t="s">
        <v>109</v>
      </c>
      <c r="R132" s="54" t="s">
        <v>110</v>
      </c>
      <c r="S132" s="54" t="s">
        <v>111</v>
      </c>
      <c r="T132" s="55" t="s">
        <v>112</v>
      </c>
    </row>
    <row r="133" spans="2:65" s="1" customFormat="1" ht="22.9" customHeight="1">
      <c r="B133" s="26"/>
      <c r="C133" s="58" t="s">
        <v>113</v>
      </c>
      <c r="J133" s="107">
        <f>BK133</f>
        <v>1729632.2599999998</v>
      </c>
      <c r="L133" s="26"/>
      <c r="M133" s="56"/>
      <c r="N133" s="47"/>
      <c r="O133" s="47"/>
      <c r="P133" s="108">
        <f>P134+P193+P207</f>
        <v>695.02454192499999</v>
      </c>
      <c r="Q133" s="47"/>
      <c r="R133" s="108">
        <f>R134+R193+R207</f>
        <v>429.95272665800002</v>
      </c>
      <c r="S133" s="47"/>
      <c r="T133" s="109">
        <f>T134+T193+T207</f>
        <v>7.6349999999999998</v>
      </c>
      <c r="AT133" s="14" t="s">
        <v>66</v>
      </c>
      <c r="AU133" s="14" t="s">
        <v>83</v>
      </c>
      <c r="BK133" s="110">
        <f>BK134+BK193+BK207</f>
        <v>1729632.2599999998</v>
      </c>
    </row>
    <row r="134" spans="2:65" s="11" customFormat="1" ht="25.9" customHeight="1">
      <c r="B134" s="111"/>
      <c r="D134" s="112" t="s">
        <v>66</v>
      </c>
      <c r="E134" s="113" t="s">
        <v>114</v>
      </c>
      <c r="F134" s="113" t="s">
        <v>115</v>
      </c>
      <c r="J134" s="114">
        <f>BK134</f>
        <v>1186494.69</v>
      </c>
      <c r="L134" s="111"/>
      <c r="M134" s="115"/>
      <c r="P134" s="116">
        <f>P135+P156+P158+P170+P178+P180+P189+P191</f>
        <v>695.02454192499999</v>
      </c>
      <c r="R134" s="116">
        <f>R135+R156+R158+R170+R178+R180+R189+R191</f>
        <v>429.95272665800002</v>
      </c>
      <c r="T134" s="117">
        <f>T135+T156+T158+T170+T178+T180+T189+T191</f>
        <v>7.6349999999999998</v>
      </c>
      <c r="AR134" s="112" t="s">
        <v>74</v>
      </c>
      <c r="AT134" s="118" t="s">
        <v>66</v>
      </c>
      <c r="AU134" s="118" t="s">
        <v>67</v>
      </c>
      <c r="AY134" s="112" t="s">
        <v>116</v>
      </c>
      <c r="BK134" s="119">
        <f>BK135+BK156+BK158+BK170+BK178+BK180+BK189+BK191</f>
        <v>1186494.69</v>
      </c>
    </row>
    <row r="135" spans="2:65" s="11" customFormat="1" ht="22.9" customHeight="1">
      <c r="B135" s="111"/>
      <c r="D135" s="112" t="s">
        <v>66</v>
      </c>
      <c r="E135" s="120" t="s">
        <v>74</v>
      </c>
      <c r="F135" s="120" t="s">
        <v>117</v>
      </c>
      <c r="J135" s="121">
        <f>BK135</f>
        <v>180242.11000000002</v>
      </c>
      <c r="L135" s="111"/>
      <c r="M135" s="115"/>
      <c r="P135" s="116">
        <f>SUM(P136:P155)</f>
        <v>164.45345462500003</v>
      </c>
      <c r="R135" s="116">
        <f>SUM(R136:R155)</f>
        <v>0.71957499999999996</v>
      </c>
      <c r="T135" s="117">
        <f>SUM(T136:T155)</f>
        <v>7.6349999999999998</v>
      </c>
      <c r="AR135" s="112" t="s">
        <v>74</v>
      </c>
      <c r="AT135" s="118" t="s">
        <v>66</v>
      </c>
      <c r="AU135" s="118" t="s">
        <v>74</v>
      </c>
      <c r="AY135" s="112" t="s">
        <v>116</v>
      </c>
      <c r="BK135" s="119">
        <f>SUM(BK136:BK155)</f>
        <v>180242.11000000002</v>
      </c>
    </row>
    <row r="136" spans="2:65" s="1" customFormat="1" ht="33" customHeight="1">
      <c r="B136" s="122"/>
      <c r="C136" s="123" t="s">
        <v>74</v>
      </c>
      <c r="D136" s="123" t="s">
        <v>118</v>
      </c>
      <c r="E136" s="124" t="s">
        <v>119</v>
      </c>
      <c r="F136" s="125" t="s">
        <v>120</v>
      </c>
      <c r="G136" s="126" t="s">
        <v>121</v>
      </c>
      <c r="H136" s="127">
        <v>1</v>
      </c>
      <c r="I136" s="128">
        <v>70.7</v>
      </c>
      <c r="J136" s="128">
        <f t="shared" ref="J136:J155" si="0">ROUND(I136*H136,2)</f>
        <v>70.7</v>
      </c>
      <c r="K136" s="129"/>
      <c r="L136" s="26"/>
      <c r="M136" s="130" t="s">
        <v>0</v>
      </c>
      <c r="N136" s="131" t="s">
        <v>32</v>
      </c>
      <c r="O136" s="132">
        <v>0.20799999999999999</v>
      </c>
      <c r="P136" s="132">
        <f t="shared" ref="P136:P155" si="1">O136*H136</f>
        <v>0.20799999999999999</v>
      </c>
      <c r="Q136" s="132">
        <v>0</v>
      </c>
      <c r="R136" s="132">
        <f t="shared" ref="R136:R155" si="2">Q136*H136</f>
        <v>0</v>
      </c>
      <c r="S136" s="132">
        <v>0</v>
      </c>
      <c r="T136" s="133">
        <f t="shared" ref="T136:T155" si="3">S136*H136</f>
        <v>0</v>
      </c>
      <c r="AR136" s="134" t="s">
        <v>122</v>
      </c>
      <c r="AT136" s="134" t="s">
        <v>118</v>
      </c>
      <c r="AU136" s="134" t="s">
        <v>76</v>
      </c>
      <c r="AY136" s="14" t="s">
        <v>116</v>
      </c>
      <c r="BE136" s="135">
        <f t="shared" ref="BE136:BE155" si="4">IF(N136="základní",J136,0)</f>
        <v>70.7</v>
      </c>
      <c r="BF136" s="135">
        <f t="shared" ref="BF136:BF155" si="5">IF(N136="snížená",J136,0)</f>
        <v>0</v>
      </c>
      <c r="BG136" s="135">
        <f t="shared" ref="BG136:BG155" si="6">IF(N136="zákl. přenesená",J136,0)</f>
        <v>0</v>
      </c>
      <c r="BH136" s="135">
        <f t="shared" ref="BH136:BH155" si="7">IF(N136="sníž. přenesená",J136,0)</f>
        <v>0</v>
      </c>
      <c r="BI136" s="135">
        <f t="shared" ref="BI136:BI155" si="8">IF(N136="nulová",J136,0)</f>
        <v>0</v>
      </c>
      <c r="BJ136" s="14" t="s">
        <v>74</v>
      </c>
      <c r="BK136" s="135">
        <f t="shared" ref="BK136:BK155" si="9">ROUND(I136*H136,2)</f>
        <v>70.7</v>
      </c>
      <c r="BL136" s="14" t="s">
        <v>122</v>
      </c>
      <c r="BM136" s="134" t="s">
        <v>123</v>
      </c>
    </row>
    <row r="137" spans="2:65" s="1" customFormat="1" ht="33" customHeight="1">
      <c r="B137" s="122"/>
      <c r="C137" s="123" t="s">
        <v>76</v>
      </c>
      <c r="D137" s="123" t="s">
        <v>118</v>
      </c>
      <c r="E137" s="124" t="s">
        <v>124</v>
      </c>
      <c r="F137" s="125" t="s">
        <v>125</v>
      </c>
      <c r="G137" s="126" t="s">
        <v>121</v>
      </c>
      <c r="H137" s="127">
        <v>1</v>
      </c>
      <c r="I137" s="128">
        <v>23.3</v>
      </c>
      <c r="J137" s="128">
        <f t="shared" si="0"/>
        <v>23.3</v>
      </c>
      <c r="K137" s="129"/>
      <c r="L137" s="26"/>
      <c r="M137" s="130" t="s">
        <v>0</v>
      </c>
      <c r="N137" s="131" t="s">
        <v>32</v>
      </c>
      <c r="O137" s="132">
        <v>2.4E-2</v>
      </c>
      <c r="P137" s="132">
        <f t="shared" si="1"/>
        <v>2.4E-2</v>
      </c>
      <c r="Q137" s="132">
        <v>0</v>
      </c>
      <c r="R137" s="132">
        <f t="shared" si="2"/>
        <v>0</v>
      </c>
      <c r="S137" s="132">
        <v>0.255</v>
      </c>
      <c r="T137" s="133">
        <f t="shared" si="3"/>
        <v>0.255</v>
      </c>
      <c r="AR137" s="134" t="s">
        <v>122</v>
      </c>
      <c r="AT137" s="134" t="s">
        <v>118</v>
      </c>
      <c r="AU137" s="134" t="s">
        <v>76</v>
      </c>
      <c r="AY137" s="14" t="s">
        <v>116</v>
      </c>
      <c r="BE137" s="135">
        <f t="shared" si="4"/>
        <v>23.3</v>
      </c>
      <c r="BF137" s="135">
        <f t="shared" si="5"/>
        <v>0</v>
      </c>
      <c r="BG137" s="135">
        <f t="shared" si="6"/>
        <v>0</v>
      </c>
      <c r="BH137" s="135">
        <f t="shared" si="7"/>
        <v>0</v>
      </c>
      <c r="BI137" s="135">
        <f t="shared" si="8"/>
        <v>0</v>
      </c>
      <c r="BJ137" s="14" t="s">
        <v>74</v>
      </c>
      <c r="BK137" s="135">
        <f t="shared" si="9"/>
        <v>23.3</v>
      </c>
      <c r="BL137" s="14" t="s">
        <v>122</v>
      </c>
      <c r="BM137" s="134" t="s">
        <v>126</v>
      </c>
    </row>
    <row r="138" spans="2:65" s="1" customFormat="1" ht="16.5" customHeight="1">
      <c r="B138" s="122"/>
      <c r="C138" s="123" t="s">
        <v>127</v>
      </c>
      <c r="D138" s="123" t="s">
        <v>118</v>
      </c>
      <c r="E138" s="124" t="s">
        <v>128</v>
      </c>
      <c r="F138" s="125" t="s">
        <v>129</v>
      </c>
      <c r="G138" s="126" t="s">
        <v>130</v>
      </c>
      <c r="H138" s="127">
        <v>36</v>
      </c>
      <c r="I138" s="128">
        <v>65.3</v>
      </c>
      <c r="J138" s="128">
        <f t="shared" si="0"/>
        <v>2350.8000000000002</v>
      </c>
      <c r="K138" s="129"/>
      <c r="L138" s="26"/>
      <c r="M138" s="130" t="s">
        <v>0</v>
      </c>
      <c r="N138" s="131" t="s">
        <v>32</v>
      </c>
      <c r="O138" s="132">
        <v>0.13300000000000001</v>
      </c>
      <c r="P138" s="132">
        <f t="shared" si="1"/>
        <v>4.7880000000000003</v>
      </c>
      <c r="Q138" s="132">
        <v>0</v>
      </c>
      <c r="R138" s="132">
        <f t="shared" si="2"/>
        <v>0</v>
      </c>
      <c r="S138" s="132">
        <v>0.20499999999999999</v>
      </c>
      <c r="T138" s="133">
        <f t="shared" si="3"/>
        <v>7.38</v>
      </c>
      <c r="AR138" s="134" t="s">
        <v>122</v>
      </c>
      <c r="AT138" s="134" t="s">
        <v>118</v>
      </c>
      <c r="AU138" s="134" t="s">
        <v>76</v>
      </c>
      <c r="AY138" s="14" t="s">
        <v>116</v>
      </c>
      <c r="BE138" s="135">
        <f t="shared" si="4"/>
        <v>2350.8000000000002</v>
      </c>
      <c r="BF138" s="135">
        <f t="shared" si="5"/>
        <v>0</v>
      </c>
      <c r="BG138" s="135">
        <f t="shared" si="6"/>
        <v>0</v>
      </c>
      <c r="BH138" s="135">
        <f t="shared" si="7"/>
        <v>0</v>
      </c>
      <c r="BI138" s="135">
        <f t="shared" si="8"/>
        <v>0</v>
      </c>
      <c r="BJ138" s="14" t="s">
        <v>74</v>
      </c>
      <c r="BK138" s="135">
        <f t="shared" si="9"/>
        <v>2350.8000000000002</v>
      </c>
      <c r="BL138" s="14" t="s">
        <v>122</v>
      </c>
      <c r="BM138" s="134" t="s">
        <v>131</v>
      </c>
    </row>
    <row r="139" spans="2:65" s="1" customFormat="1" ht="24.2" customHeight="1">
      <c r="B139" s="122"/>
      <c r="C139" s="123" t="s">
        <v>122</v>
      </c>
      <c r="D139" s="123" t="s">
        <v>118</v>
      </c>
      <c r="E139" s="124" t="s">
        <v>132</v>
      </c>
      <c r="F139" s="125" t="s">
        <v>133</v>
      </c>
      <c r="G139" s="126" t="s">
        <v>121</v>
      </c>
      <c r="H139" s="127">
        <v>740</v>
      </c>
      <c r="I139" s="128">
        <v>13.7</v>
      </c>
      <c r="J139" s="128">
        <f t="shared" si="0"/>
        <v>10138</v>
      </c>
      <c r="K139" s="129"/>
      <c r="L139" s="26"/>
      <c r="M139" s="130" t="s">
        <v>0</v>
      </c>
      <c r="N139" s="131" t="s">
        <v>32</v>
      </c>
      <c r="O139" s="132">
        <v>1.4999999999999999E-2</v>
      </c>
      <c r="P139" s="132">
        <f t="shared" si="1"/>
        <v>11.1</v>
      </c>
      <c r="Q139" s="132">
        <v>0</v>
      </c>
      <c r="R139" s="132">
        <f t="shared" si="2"/>
        <v>0</v>
      </c>
      <c r="S139" s="132">
        <v>0</v>
      </c>
      <c r="T139" s="133">
        <f t="shared" si="3"/>
        <v>0</v>
      </c>
      <c r="AR139" s="134" t="s">
        <v>122</v>
      </c>
      <c r="AT139" s="134" t="s">
        <v>118</v>
      </c>
      <c r="AU139" s="134" t="s">
        <v>76</v>
      </c>
      <c r="AY139" s="14" t="s">
        <v>116</v>
      </c>
      <c r="BE139" s="135">
        <f t="shared" si="4"/>
        <v>10138</v>
      </c>
      <c r="BF139" s="135">
        <f t="shared" si="5"/>
        <v>0</v>
      </c>
      <c r="BG139" s="135">
        <f t="shared" si="6"/>
        <v>0</v>
      </c>
      <c r="BH139" s="135">
        <f t="shared" si="7"/>
        <v>0</v>
      </c>
      <c r="BI139" s="135">
        <f t="shared" si="8"/>
        <v>0</v>
      </c>
      <c r="BJ139" s="14" t="s">
        <v>74</v>
      </c>
      <c r="BK139" s="135">
        <f t="shared" si="9"/>
        <v>10138</v>
      </c>
      <c r="BL139" s="14" t="s">
        <v>122</v>
      </c>
      <c r="BM139" s="134" t="s">
        <v>134</v>
      </c>
    </row>
    <row r="140" spans="2:65" s="1" customFormat="1" ht="33" customHeight="1">
      <c r="B140" s="122"/>
      <c r="C140" s="123" t="s">
        <v>135</v>
      </c>
      <c r="D140" s="123" t="s">
        <v>118</v>
      </c>
      <c r="E140" s="124" t="s">
        <v>136</v>
      </c>
      <c r="F140" s="125" t="s">
        <v>137</v>
      </c>
      <c r="G140" s="126" t="s">
        <v>138</v>
      </c>
      <c r="H140" s="127">
        <f>0.3*0.3*(3.7+2.35+15.9+36.25+19.5+9.2)</f>
        <v>7.8210000000000006</v>
      </c>
      <c r="I140" s="128">
        <v>1270</v>
      </c>
      <c r="J140" s="128">
        <f t="shared" si="0"/>
        <v>9932.67</v>
      </c>
      <c r="K140" s="129"/>
      <c r="L140" s="26"/>
      <c r="M140" s="130" t="s">
        <v>0</v>
      </c>
      <c r="N140" s="131" t="s">
        <v>32</v>
      </c>
      <c r="O140" s="132">
        <v>2.2599999999999998</v>
      </c>
      <c r="P140" s="132">
        <f t="shared" si="1"/>
        <v>17.675460000000001</v>
      </c>
      <c r="Q140" s="132">
        <v>0</v>
      </c>
      <c r="R140" s="132">
        <f t="shared" si="2"/>
        <v>0</v>
      </c>
      <c r="S140" s="132">
        <v>0</v>
      </c>
      <c r="T140" s="133">
        <f t="shared" si="3"/>
        <v>0</v>
      </c>
      <c r="AR140" s="134" t="s">
        <v>122</v>
      </c>
      <c r="AT140" s="134" t="s">
        <v>118</v>
      </c>
      <c r="AU140" s="134" t="s">
        <v>76</v>
      </c>
      <c r="AY140" s="14" t="s">
        <v>116</v>
      </c>
      <c r="BE140" s="135">
        <f t="shared" si="4"/>
        <v>9932.67</v>
      </c>
      <c r="BF140" s="135">
        <f t="shared" si="5"/>
        <v>0</v>
      </c>
      <c r="BG140" s="135">
        <f t="shared" si="6"/>
        <v>0</v>
      </c>
      <c r="BH140" s="135">
        <f t="shared" si="7"/>
        <v>0</v>
      </c>
      <c r="BI140" s="135">
        <f t="shared" si="8"/>
        <v>0</v>
      </c>
      <c r="BJ140" s="14" t="s">
        <v>74</v>
      </c>
      <c r="BK140" s="135">
        <f t="shared" si="9"/>
        <v>9932.67</v>
      </c>
      <c r="BL140" s="14" t="s">
        <v>122</v>
      </c>
      <c r="BM140" s="134" t="s">
        <v>139</v>
      </c>
    </row>
    <row r="141" spans="2:65" s="1" customFormat="1" ht="24.2" customHeight="1">
      <c r="B141" s="122"/>
      <c r="C141" s="123" t="s">
        <v>141</v>
      </c>
      <c r="D141" s="123" t="s">
        <v>118</v>
      </c>
      <c r="E141" s="124" t="s">
        <v>142</v>
      </c>
      <c r="F141" s="125" t="s">
        <v>143</v>
      </c>
      <c r="G141" s="126" t="s">
        <v>138</v>
      </c>
      <c r="H141" s="127">
        <f>(0.4*0.4*1.1)*37</f>
        <v>6.5120000000000013</v>
      </c>
      <c r="I141" s="128">
        <v>2240</v>
      </c>
      <c r="J141" s="128">
        <f t="shared" si="0"/>
        <v>14586.88</v>
      </c>
      <c r="K141" s="129"/>
      <c r="L141" s="26"/>
      <c r="M141" s="130" t="s">
        <v>0</v>
      </c>
      <c r="N141" s="131" t="s">
        <v>32</v>
      </c>
      <c r="O141" s="132">
        <v>7.133</v>
      </c>
      <c r="P141" s="132">
        <f t="shared" si="1"/>
        <v>46.450096000000009</v>
      </c>
      <c r="Q141" s="132">
        <v>0</v>
      </c>
      <c r="R141" s="132">
        <f t="shared" si="2"/>
        <v>0</v>
      </c>
      <c r="S141" s="132">
        <v>0</v>
      </c>
      <c r="T141" s="133">
        <f t="shared" si="3"/>
        <v>0</v>
      </c>
      <c r="AR141" s="134" t="s">
        <v>122</v>
      </c>
      <c r="AT141" s="134" t="s">
        <v>118</v>
      </c>
      <c r="AU141" s="134" t="s">
        <v>76</v>
      </c>
      <c r="AY141" s="14" t="s">
        <v>116</v>
      </c>
      <c r="BE141" s="135">
        <f t="shared" si="4"/>
        <v>14586.88</v>
      </c>
      <c r="BF141" s="135">
        <f t="shared" si="5"/>
        <v>0</v>
      </c>
      <c r="BG141" s="135">
        <f t="shared" si="6"/>
        <v>0</v>
      </c>
      <c r="BH141" s="135">
        <f t="shared" si="7"/>
        <v>0</v>
      </c>
      <c r="BI141" s="135">
        <f t="shared" si="8"/>
        <v>0</v>
      </c>
      <c r="BJ141" s="14" t="s">
        <v>74</v>
      </c>
      <c r="BK141" s="135">
        <f t="shared" si="9"/>
        <v>14586.88</v>
      </c>
      <c r="BL141" s="14" t="s">
        <v>122</v>
      </c>
      <c r="BM141" s="134" t="s">
        <v>144</v>
      </c>
    </row>
    <row r="142" spans="2:65" s="1" customFormat="1" ht="37.9" customHeight="1">
      <c r="B142" s="122"/>
      <c r="C142" s="123" t="s">
        <v>145</v>
      </c>
      <c r="D142" s="123" t="s">
        <v>118</v>
      </c>
      <c r="E142" s="124" t="s">
        <v>146</v>
      </c>
      <c r="F142" s="125" t="s">
        <v>147</v>
      </c>
      <c r="G142" s="126" t="s">
        <v>138</v>
      </c>
      <c r="H142" s="127">
        <f>0.15*740+7.821+6.512</f>
        <v>125.333</v>
      </c>
      <c r="I142" s="128">
        <v>271</v>
      </c>
      <c r="J142" s="128">
        <f t="shared" si="0"/>
        <v>33965.24</v>
      </c>
      <c r="K142" s="129"/>
      <c r="L142" s="26"/>
      <c r="M142" s="130" t="s">
        <v>0</v>
      </c>
      <c r="N142" s="131" t="s">
        <v>32</v>
      </c>
      <c r="O142" s="132">
        <v>8.6999999999999994E-2</v>
      </c>
      <c r="P142" s="132">
        <f t="shared" si="1"/>
        <v>10.903970999999999</v>
      </c>
      <c r="Q142" s="132">
        <v>0</v>
      </c>
      <c r="R142" s="132">
        <f t="shared" si="2"/>
        <v>0</v>
      </c>
      <c r="S142" s="132">
        <v>0</v>
      </c>
      <c r="T142" s="133">
        <f t="shared" si="3"/>
        <v>0</v>
      </c>
      <c r="AR142" s="134" t="s">
        <v>122</v>
      </c>
      <c r="AT142" s="134" t="s">
        <v>118</v>
      </c>
      <c r="AU142" s="134" t="s">
        <v>76</v>
      </c>
      <c r="AY142" s="14" t="s">
        <v>116</v>
      </c>
      <c r="BE142" s="135">
        <f t="shared" si="4"/>
        <v>33965.24</v>
      </c>
      <c r="BF142" s="135">
        <f t="shared" si="5"/>
        <v>0</v>
      </c>
      <c r="BG142" s="135">
        <f t="shared" si="6"/>
        <v>0</v>
      </c>
      <c r="BH142" s="135">
        <f t="shared" si="7"/>
        <v>0</v>
      </c>
      <c r="BI142" s="135">
        <f t="shared" si="8"/>
        <v>0</v>
      </c>
      <c r="BJ142" s="14" t="s">
        <v>74</v>
      </c>
      <c r="BK142" s="135">
        <f t="shared" si="9"/>
        <v>33965.24</v>
      </c>
      <c r="BL142" s="14" t="s">
        <v>122</v>
      </c>
      <c r="BM142" s="134" t="s">
        <v>148</v>
      </c>
    </row>
    <row r="143" spans="2:65" s="1" customFormat="1" ht="37.9" customHeight="1">
      <c r="B143" s="122"/>
      <c r="C143" s="123" t="s">
        <v>149</v>
      </c>
      <c r="D143" s="123" t="s">
        <v>118</v>
      </c>
      <c r="E143" s="124" t="s">
        <v>150</v>
      </c>
      <c r="F143" s="125" t="s">
        <v>151</v>
      </c>
      <c r="G143" s="126" t="s">
        <v>138</v>
      </c>
      <c r="H143" s="127">
        <v>1253.33</v>
      </c>
      <c r="I143" s="128">
        <v>20.5</v>
      </c>
      <c r="J143" s="128">
        <f t="shared" si="0"/>
        <v>25693.27</v>
      </c>
      <c r="K143" s="129"/>
      <c r="L143" s="26"/>
      <c r="M143" s="130" t="s">
        <v>0</v>
      </c>
      <c r="N143" s="131" t="s">
        <v>32</v>
      </c>
      <c r="O143" s="132">
        <v>5.0000000000000001E-3</v>
      </c>
      <c r="P143" s="132">
        <f t="shared" si="1"/>
        <v>6.2666499999999994</v>
      </c>
      <c r="Q143" s="132">
        <v>0</v>
      </c>
      <c r="R143" s="132">
        <f t="shared" si="2"/>
        <v>0</v>
      </c>
      <c r="S143" s="132">
        <v>0</v>
      </c>
      <c r="T143" s="133">
        <f t="shared" si="3"/>
        <v>0</v>
      </c>
      <c r="AR143" s="134" t="s">
        <v>122</v>
      </c>
      <c r="AT143" s="134" t="s">
        <v>118</v>
      </c>
      <c r="AU143" s="134" t="s">
        <v>76</v>
      </c>
      <c r="AY143" s="14" t="s">
        <v>116</v>
      </c>
      <c r="BE143" s="135">
        <f t="shared" si="4"/>
        <v>25693.27</v>
      </c>
      <c r="BF143" s="135">
        <f t="shared" si="5"/>
        <v>0</v>
      </c>
      <c r="BG143" s="135">
        <f t="shared" si="6"/>
        <v>0</v>
      </c>
      <c r="BH143" s="135">
        <f t="shared" si="7"/>
        <v>0</v>
      </c>
      <c r="BI143" s="135">
        <f t="shared" si="8"/>
        <v>0</v>
      </c>
      <c r="BJ143" s="14" t="s">
        <v>74</v>
      </c>
      <c r="BK143" s="135">
        <f t="shared" si="9"/>
        <v>25693.27</v>
      </c>
      <c r="BL143" s="14" t="s">
        <v>122</v>
      </c>
      <c r="BM143" s="134" t="s">
        <v>152</v>
      </c>
    </row>
    <row r="144" spans="2:65" s="1" customFormat="1" ht="24.2" customHeight="1">
      <c r="B144" s="122"/>
      <c r="C144" s="123" t="s">
        <v>153</v>
      </c>
      <c r="D144" s="123" t="s">
        <v>118</v>
      </c>
      <c r="E144" s="124" t="s">
        <v>154</v>
      </c>
      <c r="F144" s="125" t="s">
        <v>155</v>
      </c>
      <c r="G144" s="126" t="s">
        <v>156</v>
      </c>
      <c r="H144" s="127">
        <f>(6.512+7.821)*1.7</f>
        <v>24.366099999999996</v>
      </c>
      <c r="I144" s="128">
        <v>1300</v>
      </c>
      <c r="J144" s="128">
        <f t="shared" si="0"/>
        <v>31675.93</v>
      </c>
      <c r="K144" s="129"/>
      <c r="L144" s="26"/>
      <c r="M144" s="130" t="s">
        <v>0</v>
      </c>
      <c r="N144" s="131" t="s">
        <v>32</v>
      </c>
      <c r="O144" s="132">
        <v>0</v>
      </c>
      <c r="P144" s="132">
        <f t="shared" si="1"/>
        <v>0</v>
      </c>
      <c r="Q144" s="132">
        <v>0</v>
      </c>
      <c r="R144" s="132">
        <f t="shared" si="2"/>
        <v>0</v>
      </c>
      <c r="S144" s="132">
        <v>0</v>
      </c>
      <c r="T144" s="133">
        <f t="shared" si="3"/>
        <v>0</v>
      </c>
      <c r="AR144" s="134" t="s">
        <v>122</v>
      </c>
      <c r="AT144" s="134" t="s">
        <v>118</v>
      </c>
      <c r="AU144" s="134" t="s">
        <v>76</v>
      </c>
      <c r="AY144" s="14" t="s">
        <v>116</v>
      </c>
      <c r="BE144" s="135">
        <f t="shared" si="4"/>
        <v>31675.93</v>
      </c>
      <c r="BF144" s="135">
        <f t="shared" si="5"/>
        <v>0</v>
      </c>
      <c r="BG144" s="135">
        <f t="shared" si="6"/>
        <v>0</v>
      </c>
      <c r="BH144" s="135">
        <f t="shared" si="7"/>
        <v>0</v>
      </c>
      <c r="BI144" s="135">
        <f t="shared" si="8"/>
        <v>0</v>
      </c>
      <c r="BJ144" s="14" t="s">
        <v>74</v>
      </c>
      <c r="BK144" s="135">
        <f t="shared" si="9"/>
        <v>31675.93</v>
      </c>
      <c r="BL144" s="14" t="s">
        <v>122</v>
      </c>
      <c r="BM144" s="134" t="s">
        <v>157</v>
      </c>
    </row>
    <row r="145" spans="2:65" s="1" customFormat="1" ht="16.5" customHeight="1">
      <c r="B145" s="122"/>
      <c r="C145" s="123" t="s">
        <v>158</v>
      </c>
      <c r="D145" s="123" t="s">
        <v>118</v>
      </c>
      <c r="E145" s="124" t="s">
        <v>159</v>
      </c>
      <c r="F145" s="125" t="s">
        <v>160</v>
      </c>
      <c r="G145" s="126" t="s">
        <v>138</v>
      </c>
      <c r="H145" s="127">
        <f>740*0.15</f>
        <v>111</v>
      </c>
      <c r="I145" s="128">
        <v>19.899999999999999</v>
      </c>
      <c r="J145" s="128">
        <f t="shared" si="0"/>
        <v>2208.9</v>
      </c>
      <c r="K145" s="129"/>
      <c r="L145" s="26"/>
      <c r="M145" s="130" t="s">
        <v>0</v>
      </c>
      <c r="N145" s="131" t="s">
        <v>32</v>
      </c>
      <c r="O145" s="132">
        <v>8.9999999999999993E-3</v>
      </c>
      <c r="P145" s="132">
        <f t="shared" si="1"/>
        <v>0.99899999999999989</v>
      </c>
      <c r="Q145" s="132">
        <v>0</v>
      </c>
      <c r="R145" s="132">
        <f t="shared" si="2"/>
        <v>0</v>
      </c>
      <c r="S145" s="132">
        <v>0</v>
      </c>
      <c r="T145" s="133">
        <f t="shared" si="3"/>
        <v>0</v>
      </c>
      <c r="AR145" s="134" t="s">
        <v>122</v>
      </c>
      <c r="AT145" s="134" t="s">
        <v>118</v>
      </c>
      <c r="AU145" s="134" t="s">
        <v>76</v>
      </c>
      <c r="AY145" s="14" t="s">
        <v>116</v>
      </c>
      <c r="BE145" s="135">
        <f t="shared" si="4"/>
        <v>2208.9</v>
      </c>
      <c r="BF145" s="135">
        <f t="shared" si="5"/>
        <v>0</v>
      </c>
      <c r="BG145" s="135">
        <f t="shared" si="6"/>
        <v>0</v>
      </c>
      <c r="BH145" s="135">
        <f t="shared" si="7"/>
        <v>0</v>
      </c>
      <c r="BI145" s="135">
        <f t="shared" si="8"/>
        <v>0</v>
      </c>
      <c r="BJ145" s="14" t="s">
        <v>74</v>
      </c>
      <c r="BK145" s="135">
        <f t="shared" si="9"/>
        <v>2208.9</v>
      </c>
      <c r="BL145" s="14" t="s">
        <v>122</v>
      </c>
      <c r="BM145" s="134" t="s">
        <v>161</v>
      </c>
    </row>
    <row r="146" spans="2:65" s="1" customFormat="1" ht="24.2" customHeight="1">
      <c r="B146" s="122"/>
      <c r="C146" s="123" t="s">
        <v>162</v>
      </c>
      <c r="D146" s="123" t="s">
        <v>118</v>
      </c>
      <c r="E146" s="124" t="s">
        <v>163</v>
      </c>
      <c r="F146" s="125" t="s">
        <v>164</v>
      </c>
      <c r="G146" s="126" t="s">
        <v>121</v>
      </c>
      <c r="H146" s="127">
        <v>65</v>
      </c>
      <c r="I146" s="128">
        <v>188</v>
      </c>
      <c r="J146" s="128">
        <f t="shared" si="0"/>
        <v>12220</v>
      </c>
      <c r="K146" s="129"/>
      <c r="L146" s="26"/>
      <c r="M146" s="130" t="s">
        <v>0</v>
      </c>
      <c r="N146" s="131" t="s">
        <v>32</v>
      </c>
      <c r="O146" s="132">
        <v>0.66800000000000004</v>
      </c>
      <c r="P146" s="132">
        <f t="shared" si="1"/>
        <v>43.42</v>
      </c>
      <c r="Q146" s="132">
        <v>0</v>
      </c>
      <c r="R146" s="132">
        <f t="shared" si="2"/>
        <v>0</v>
      </c>
      <c r="S146" s="132">
        <v>0</v>
      </c>
      <c r="T146" s="133">
        <f t="shared" si="3"/>
        <v>0</v>
      </c>
      <c r="AR146" s="134" t="s">
        <v>122</v>
      </c>
      <c r="AT146" s="134" t="s">
        <v>118</v>
      </c>
      <c r="AU146" s="134" t="s">
        <v>76</v>
      </c>
      <c r="AY146" s="14" t="s">
        <v>116</v>
      </c>
      <c r="BE146" s="135">
        <f t="shared" si="4"/>
        <v>12220</v>
      </c>
      <c r="BF146" s="135">
        <f t="shared" si="5"/>
        <v>0</v>
      </c>
      <c r="BG146" s="135">
        <f t="shared" si="6"/>
        <v>0</v>
      </c>
      <c r="BH146" s="135">
        <f t="shared" si="7"/>
        <v>0</v>
      </c>
      <c r="BI146" s="135">
        <f t="shared" si="8"/>
        <v>0</v>
      </c>
      <c r="BJ146" s="14" t="s">
        <v>74</v>
      </c>
      <c r="BK146" s="135">
        <f t="shared" si="9"/>
        <v>12220</v>
      </c>
      <c r="BL146" s="14" t="s">
        <v>122</v>
      </c>
      <c r="BM146" s="134" t="s">
        <v>165</v>
      </c>
    </row>
    <row r="147" spans="2:65" s="1" customFormat="1" ht="16.5" customHeight="1">
      <c r="B147" s="122"/>
      <c r="C147" s="142" t="s">
        <v>166</v>
      </c>
      <c r="D147" s="142" t="s">
        <v>167</v>
      </c>
      <c r="E147" s="143" t="s">
        <v>168</v>
      </c>
      <c r="F147" s="144" t="s">
        <v>169</v>
      </c>
      <c r="G147" s="145" t="s">
        <v>138</v>
      </c>
      <c r="H147" s="146">
        <f>65*0.05*1.05</f>
        <v>3.4125000000000001</v>
      </c>
      <c r="I147" s="147">
        <v>1050</v>
      </c>
      <c r="J147" s="147">
        <f t="shared" si="0"/>
        <v>3583.13</v>
      </c>
      <c r="K147" s="148"/>
      <c r="L147" s="149"/>
      <c r="M147" s="150" t="s">
        <v>0</v>
      </c>
      <c r="N147" s="151" t="s">
        <v>32</v>
      </c>
      <c r="O147" s="132">
        <v>0</v>
      </c>
      <c r="P147" s="132">
        <f t="shared" si="1"/>
        <v>0</v>
      </c>
      <c r="Q147" s="132">
        <v>0.21</v>
      </c>
      <c r="R147" s="132">
        <f t="shared" si="2"/>
        <v>0.71662499999999996</v>
      </c>
      <c r="S147" s="132">
        <v>0</v>
      </c>
      <c r="T147" s="133">
        <f t="shared" si="3"/>
        <v>0</v>
      </c>
      <c r="AR147" s="134" t="s">
        <v>149</v>
      </c>
      <c r="AT147" s="134" t="s">
        <v>167</v>
      </c>
      <c r="AU147" s="134" t="s">
        <v>76</v>
      </c>
      <c r="AY147" s="14" t="s">
        <v>116</v>
      </c>
      <c r="BE147" s="135">
        <f t="shared" si="4"/>
        <v>3583.13</v>
      </c>
      <c r="BF147" s="135">
        <f t="shared" si="5"/>
        <v>0</v>
      </c>
      <c r="BG147" s="135">
        <f t="shared" si="6"/>
        <v>0</v>
      </c>
      <c r="BH147" s="135">
        <f t="shared" si="7"/>
        <v>0</v>
      </c>
      <c r="BI147" s="135">
        <f t="shared" si="8"/>
        <v>0</v>
      </c>
      <c r="BJ147" s="14" t="s">
        <v>74</v>
      </c>
      <c r="BK147" s="135">
        <f t="shared" si="9"/>
        <v>3583.13</v>
      </c>
      <c r="BL147" s="14" t="s">
        <v>122</v>
      </c>
      <c r="BM147" s="134" t="s">
        <v>170</v>
      </c>
    </row>
    <row r="148" spans="2:65" s="1" customFormat="1" ht="37.9" customHeight="1">
      <c r="B148" s="122"/>
      <c r="C148" s="123" t="s">
        <v>171</v>
      </c>
      <c r="D148" s="123" t="s">
        <v>118</v>
      </c>
      <c r="E148" s="124" t="s">
        <v>172</v>
      </c>
      <c r="F148" s="125" t="s">
        <v>173</v>
      </c>
      <c r="G148" s="126" t="s">
        <v>121</v>
      </c>
      <c r="H148" s="127">
        <v>65</v>
      </c>
      <c r="I148" s="128">
        <v>18.7</v>
      </c>
      <c r="J148" s="128">
        <f t="shared" si="0"/>
        <v>1215.5</v>
      </c>
      <c r="K148" s="129"/>
      <c r="L148" s="26"/>
      <c r="M148" s="130" t="s">
        <v>0</v>
      </c>
      <c r="N148" s="131" t="s">
        <v>32</v>
      </c>
      <c r="O148" s="132">
        <v>5.8000000000000003E-2</v>
      </c>
      <c r="P148" s="132">
        <f t="shared" si="1"/>
        <v>3.77</v>
      </c>
      <c r="Q148" s="132">
        <v>0</v>
      </c>
      <c r="R148" s="132">
        <f t="shared" si="2"/>
        <v>0</v>
      </c>
      <c r="S148" s="132">
        <v>0</v>
      </c>
      <c r="T148" s="133">
        <f t="shared" si="3"/>
        <v>0</v>
      </c>
      <c r="AR148" s="134" t="s">
        <v>122</v>
      </c>
      <c r="AT148" s="134" t="s">
        <v>118</v>
      </c>
      <c r="AU148" s="134" t="s">
        <v>76</v>
      </c>
      <c r="AY148" s="14" t="s">
        <v>116</v>
      </c>
      <c r="BE148" s="135">
        <f t="shared" si="4"/>
        <v>1215.5</v>
      </c>
      <c r="BF148" s="135">
        <f t="shared" si="5"/>
        <v>0</v>
      </c>
      <c r="BG148" s="135">
        <f t="shared" si="6"/>
        <v>0</v>
      </c>
      <c r="BH148" s="135">
        <f t="shared" si="7"/>
        <v>0</v>
      </c>
      <c r="BI148" s="135">
        <f t="shared" si="8"/>
        <v>0</v>
      </c>
      <c r="BJ148" s="14" t="s">
        <v>74</v>
      </c>
      <c r="BK148" s="135">
        <f t="shared" si="9"/>
        <v>1215.5</v>
      </c>
      <c r="BL148" s="14" t="s">
        <v>122</v>
      </c>
      <c r="BM148" s="134" t="s">
        <v>174</v>
      </c>
    </row>
    <row r="149" spans="2:65" s="1" customFormat="1" ht="16.5" customHeight="1">
      <c r="B149" s="122"/>
      <c r="C149" s="142" t="s">
        <v>175</v>
      </c>
      <c r="D149" s="142" t="s">
        <v>167</v>
      </c>
      <c r="E149" s="143" t="s">
        <v>176</v>
      </c>
      <c r="F149" s="144" t="s">
        <v>177</v>
      </c>
      <c r="G149" s="145" t="s">
        <v>178</v>
      </c>
      <c r="H149" s="146">
        <f>65*0.03</f>
        <v>1.95</v>
      </c>
      <c r="I149" s="147">
        <v>93</v>
      </c>
      <c r="J149" s="147">
        <f t="shared" si="0"/>
        <v>181.35</v>
      </c>
      <c r="K149" s="148"/>
      <c r="L149" s="149"/>
      <c r="M149" s="150" t="s">
        <v>0</v>
      </c>
      <c r="N149" s="151" t="s">
        <v>32</v>
      </c>
      <c r="O149" s="132">
        <v>0</v>
      </c>
      <c r="P149" s="132">
        <f t="shared" si="1"/>
        <v>0</v>
      </c>
      <c r="Q149" s="132">
        <v>1E-3</v>
      </c>
      <c r="R149" s="132">
        <f t="shared" si="2"/>
        <v>1.9499999999999999E-3</v>
      </c>
      <c r="S149" s="132">
        <v>0</v>
      </c>
      <c r="T149" s="133">
        <f t="shared" si="3"/>
        <v>0</v>
      </c>
      <c r="AR149" s="134" t="s">
        <v>149</v>
      </c>
      <c r="AT149" s="134" t="s">
        <v>167</v>
      </c>
      <c r="AU149" s="134" t="s">
        <v>76</v>
      </c>
      <c r="AY149" s="14" t="s">
        <v>116</v>
      </c>
      <c r="BE149" s="135">
        <f t="shared" si="4"/>
        <v>181.35</v>
      </c>
      <c r="BF149" s="135">
        <f t="shared" si="5"/>
        <v>0</v>
      </c>
      <c r="BG149" s="135">
        <f t="shared" si="6"/>
        <v>0</v>
      </c>
      <c r="BH149" s="135">
        <f t="shared" si="7"/>
        <v>0</v>
      </c>
      <c r="BI149" s="135">
        <f t="shared" si="8"/>
        <v>0</v>
      </c>
      <c r="BJ149" s="14" t="s">
        <v>74</v>
      </c>
      <c r="BK149" s="135">
        <f t="shared" si="9"/>
        <v>181.35</v>
      </c>
      <c r="BL149" s="14" t="s">
        <v>122</v>
      </c>
      <c r="BM149" s="134" t="s">
        <v>179</v>
      </c>
    </row>
    <row r="150" spans="2:65" s="1" customFormat="1" ht="44.25" customHeight="1">
      <c r="B150" s="122"/>
      <c r="C150" s="123" t="s">
        <v>7</v>
      </c>
      <c r="D150" s="123" t="s">
        <v>118</v>
      </c>
      <c r="E150" s="124" t="s">
        <v>180</v>
      </c>
      <c r="F150" s="125" t="s">
        <v>181</v>
      </c>
      <c r="G150" s="126" t="s">
        <v>121</v>
      </c>
      <c r="H150" s="127">
        <v>740</v>
      </c>
      <c r="I150" s="128">
        <v>43.5</v>
      </c>
      <c r="J150" s="128">
        <f t="shared" si="0"/>
        <v>32190</v>
      </c>
      <c r="K150" s="129"/>
      <c r="L150" s="26"/>
      <c r="M150" s="130" t="s">
        <v>0</v>
      </c>
      <c r="N150" s="131" t="s">
        <v>32</v>
      </c>
      <c r="O150" s="132">
        <v>2.5000000000000001E-2</v>
      </c>
      <c r="P150" s="132">
        <f t="shared" si="1"/>
        <v>18.5</v>
      </c>
      <c r="Q150" s="132">
        <v>0</v>
      </c>
      <c r="R150" s="132">
        <f t="shared" si="2"/>
        <v>0</v>
      </c>
      <c r="S150" s="132">
        <v>0</v>
      </c>
      <c r="T150" s="133">
        <f t="shared" si="3"/>
        <v>0</v>
      </c>
      <c r="AR150" s="134" t="s">
        <v>122</v>
      </c>
      <c r="AT150" s="134" t="s">
        <v>118</v>
      </c>
      <c r="AU150" s="134" t="s">
        <v>76</v>
      </c>
      <c r="AY150" s="14" t="s">
        <v>116</v>
      </c>
      <c r="BE150" s="135">
        <f t="shared" si="4"/>
        <v>32190</v>
      </c>
      <c r="BF150" s="135">
        <f t="shared" si="5"/>
        <v>0</v>
      </c>
      <c r="BG150" s="135">
        <f t="shared" si="6"/>
        <v>0</v>
      </c>
      <c r="BH150" s="135">
        <f t="shared" si="7"/>
        <v>0</v>
      </c>
      <c r="BI150" s="135">
        <f t="shared" si="8"/>
        <v>0</v>
      </c>
      <c r="BJ150" s="14" t="s">
        <v>74</v>
      </c>
      <c r="BK150" s="135">
        <f t="shared" si="9"/>
        <v>32190</v>
      </c>
      <c r="BL150" s="14" t="s">
        <v>122</v>
      </c>
      <c r="BM150" s="134" t="s">
        <v>182</v>
      </c>
    </row>
    <row r="151" spans="2:65" s="1" customFormat="1" ht="33" customHeight="1">
      <c r="B151" s="122"/>
      <c r="C151" s="123" t="s">
        <v>183</v>
      </c>
      <c r="D151" s="123" t="s">
        <v>118</v>
      </c>
      <c r="E151" s="124" t="s">
        <v>184</v>
      </c>
      <c r="F151" s="125" t="s">
        <v>185</v>
      </c>
      <c r="G151" s="126" t="s">
        <v>121</v>
      </c>
      <c r="H151" s="127">
        <v>65</v>
      </c>
      <c r="I151" s="128">
        <v>2.04</v>
      </c>
      <c r="J151" s="128">
        <f t="shared" si="0"/>
        <v>132.6</v>
      </c>
      <c r="K151" s="129"/>
      <c r="L151" s="26"/>
      <c r="M151" s="130" t="s">
        <v>0</v>
      </c>
      <c r="N151" s="131" t="s">
        <v>32</v>
      </c>
      <c r="O151" s="132">
        <v>4.0000000000000001E-3</v>
      </c>
      <c r="P151" s="132">
        <f t="shared" si="1"/>
        <v>0.26</v>
      </c>
      <c r="Q151" s="132">
        <v>0</v>
      </c>
      <c r="R151" s="132">
        <f t="shared" si="2"/>
        <v>0</v>
      </c>
      <c r="S151" s="132">
        <v>0</v>
      </c>
      <c r="T151" s="133">
        <f t="shared" si="3"/>
        <v>0</v>
      </c>
      <c r="AR151" s="134" t="s">
        <v>122</v>
      </c>
      <c r="AT151" s="134" t="s">
        <v>118</v>
      </c>
      <c r="AU151" s="134" t="s">
        <v>76</v>
      </c>
      <c r="AY151" s="14" t="s">
        <v>116</v>
      </c>
      <c r="BE151" s="135">
        <f t="shared" si="4"/>
        <v>132.6</v>
      </c>
      <c r="BF151" s="135">
        <f t="shared" si="5"/>
        <v>0</v>
      </c>
      <c r="BG151" s="135">
        <f t="shared" si="6"/>
        <v>0</v>
      </c>
      <c r="BH151" s="135">
        <f t="shared" si="7"/>
        <v>0</v>
      </c>
      <c r="BI151" s="135">
        <f t="shared" si="8"/>
        <v>0</v>
      </c>
      <c r="BJ151" s="14" t="s">
        <v>74</v>
      </c>
      <c r="BK151" s="135">
        <f t="shared" si="9"/>
        <v>132.6</v>
      </c>
      <c r="BL151" s="14" t="s">
        <v>122</v>
      </c>
      <c r="BM151" s="134" t="s">
        <v>186</v>
      </c>
    </row>
    <row r="152" spans="2:65" s="1" customFormat="1" ht="24.2" customHeight="1">
      <c r="B152" s="122"/>
      <c r="C152" s="123" t="s">
        <v>187</v>
      </c>
      <c r="D152" s="123" t="s">
        <v>118</v>
      </c>
      <c r="E152" s="124" t="s">
        <v>188</v>
      </c>
      <c r="F152" s="125" t="s">
        <v>189</v>
      </c>
      <c r="G152" s="126" t="s">
        <v>156</v>
      </c>
      <c r="H152" s="127">
        <f>45*0.000025</f>
        <v>1.1250000000000001E-3</v>
      </c>
      <c r="I152" s="128">
        <v>6290</v>
      </c>
      <c r="J152" s="128">
        <f t="shared" si="0"/>
        <v>7.08</v>
      </c>
      <c r="K152" s="129"/>
      <c r="L152" s="26"/>
      <c r="M152" s="130" t="s">
        <v>0</v>
      </c>
      <c r="N152" s="131" t="s">
        <v>32</v>
      </c>
      <c r="O152" s="132">
        <v>21.428999999999998</v>
      </c>
      <c r="P152" s="132">
        <f t="shared" si="1"/>
        <v>2.4107625000000001E-2</v>
      </c>
      <c r="Q152" s="132">
        <v>0</v>
      </c>
      <c r="R152" s="132">
        <f t="shared" si="2"/>
        <v>0</v>
      </c>
      <c r="S152" s="132">
        <v>0</v>
      </c>
      <c r="T152" s="133">
        <f t="shared" si="3"/>
        <v>0</v>
      </c>
      <c r="AR152" s="134" t="s">
        <v>122</v>
      </c>
      <c r="AT152" s="134" t="s">
        <v>118</v>
      </c>
      <c r="AU152" s="134" t="s">
        <v>76</v>
      </c>
      <c r="AY152" s="14" t="s">
        <v>116</v>
      </c>
      <c r="BE152" s="135">
        <f t="shared" si="4"/>
        <v>7.08</v>
      </c>
      <c r="BF152" s="135">
        <f t="shared" si="5"/>
        <v>0</v>
      </c>
      <c r="BG152" s="135">
        <f t="shared" si="6"/>
        <v>0</v>
      </c>
      <c r="BH152" s="135">
        <f t="shared" si="7"/>
        <v>0</v>
      </c>
      <c r="BI152" s="135">
        <f t="shared" si="8"/>
        <v>0</v>
      </c>
      <c r="BJ152" s="14" t="s">
        <v>74</v>
      </c>
      <c r="BK152" s="135">
        <f t="shared" si="9"/>
        <v>7.08</v>
      </c>
      <c r="BL152" s="14" t="s">
        <v>122</v>
      </c>
      <c r="BM152" s="134" t="s">
        <v>190</v>
      </c>
    </row>
    <row r="153" spans="2:65" s="1" customFormat="1" ht="16.5" customHeight="1">
      <c r="B153" s="122"/>
      <c r="C153" s="142" t="s">
        <v>191</v>
      </c>
      <c r="D153" s="142" t="s">
        <v>167</v>
      </c>
      <c r="E153" s="143" t="s">
        <v>192</v>
      </c>
      <c r="F153" s="144" t="s">
        <v>193</v>
      </c>
      <c r="G153" s="145" t="s">
        <v>178</v>
      </c>
      <c r="H153" s="146">
        <f>0.001*1000</f>
        <v>1</v>
      </c>
      <c r="I153" s="147">
        <v>25.9</v>
      </c>
      <c r="J153" s="147">
        <f t="shared" si="0"/>
        <v>25.9</v>
      </c>
      <c r="K153" s="148"/>
      <c r="L153" s="149"/>
      <c r="M153" s="150" t="s">
        <v>0</v>
      </c>
      <c r="N153" s="151" t="s">
        <v>32</v>
      </c>
      <c r="O153" s="132">
        <v>0</v>
      </c>
      <c r="P153" s="132">
        <f t="shared" si="1"/>
        <v>0</v>
      </c>
      <c r="Q153" s="132">
        <v>1E-3</v>
      </c>
      <c r="R153" s="132">
        <f t="shared" si="2"/>
        <v>1E-3</v>
      </c>
      <c r="S153" s="132">
        <v>0</v>
      </c>
      <c r="T153" s="133">
        <f t="shared" si="3"/>
        <v>0</v>
      </c>
      <c r="AR153" s="134" t="s">
        <v>149</v>
      </c>
      <c r="AT153" s="134" t="s">
        <v>167</v>
      </c>
      <c r="AU153" s="134" t="s">
        <v>76</v>
      </c>
      <c r="AY153" s="14" t="s">
        <v>116</v>
      </c>
      <c r="BE153" s="135">
        <f t="shared" si="4"/>
        <v>25.9</v>
      </c>
      <c r="BF153" s="135">
        <f t="shared" si="5"/>
        <v>0</v>
      </c>
      <c r="BG153" s="135">
        <f t="shared" si="6"/>
        <v>0</v>
      </c>
      <c r="BH153" s="135">
        <f t="shared" si="7"/>
        <v>0</v>
      </c>
      <c r="BI153" s="135">
        <f t="shared" si="8"/>
        <v>0</v>
      </c>
      <c r="BJ153" s="14" t="s">
        <v>74</v>
      </c>
      <c r="BK153" s="135">
        <f t="shared" si="9"/>
        <v>25.9</v>
      </c>
      <c r="BL153" s="14" t="s">
        <v>122</v>
      </c>
      <c r="BM153" s="134" t="s">
        <v>194</v>
      </c>
    </row>
    <row r="154" spans="2:65" s="1" customFormat="1" ht="16.5" customHeight="1">
      <c r="B154" s="122"/>
      <c r="C154" s="123" t="s">
        <v>195</v>
      </c>
      <c r="D154" s="123" t="s">
        <v>118</v>
      </c>
      <c r="E154" s="124" t="s">
        <v>196</v>
      </c>
      <c r="F154" s="125" t="s">
        <v>197</v>
      </c>
      <c r="G154" s="126" t="s">
        <v>138</v>
      </c>
      <c r="H154" s="127">
        <f>45*0.002</f>
        <v>0.09</v>
      </c>
      <c r="I154" s="128">
        <v>121</v>
      </c>
      <c r="J154" s="128">
        <f t="shared" si="0"/>
        <v>10.89</v>
      </c>
      <c r="K154" s="129"/>
      <c r="L154" s="26"/>
      <c r="M154" s="130" t="s">
        <v>0</v>
      </c>
      <c r="N154" s="131" t="s">
        <v>32</v>
      </c>
      <c r="O154" s="132">
        <v>0.26100000000000001</v>
      </c>
      <c r="P154" s="132">
        <f t="shared" si="1"/>
        <v>2.349E-2</v>
      </c>
      <c r="Q154" s="132">
        <v>0</v>
      </c>
      <c r="R154" s="132">
        <f t="shared" si="2"/>
        <v>0</v>
      </c>
      <c r="S154" s="132">
        <v>0</v>
      </c>
      <c r="T154" s="133">
        <f t="shared" si="3"/>
        <v>0</v>
      </c>
      <c r="AR154" s="134" t="s">
        <v>122</v>
      </c>
      <c r="AT154" s="134" t="s">
        <v>118</v>
      </c>
      <c r="AU154" s="134" t="s">
        <v>76</v>
      </c>
      <c r="AY154" s="14" t="s">
        <v>116</v>
      </c>
      <c r="BE154" s="135">
        <f t="shared" si="4"/>
        <v>10.89</v>
      </c>
      <c r="BF154" s="135">
        <f t="shared" si="5"/>
        <v>0</v>
      </c>
      <c r="BG154" s="135">
        <f t="shared" si="6"/>
        <v>0</v>
      </c>
      <c r="BH154" s="135">
        <f t="shared" si="7"/>
        <v>0</v>
      </c>
      <c r="BI154" s="135">
        <f t="shared" si="8"/>
        <v>0</v>
      </c>
      <c r="BJ154" s="14" t="s">
        <v>74</v>
      </c>
      <c r="BK154" s="135">
        <f t="shared" si="9"/>
        <v>10.89</v>
      </c>
      <c r="BL154" s="14" t="s">
        <v>122</v>
      </c>
      <c r="BM154" s="134" t="s">
        <v>198</v>
      </c>
    </row>
    <row r="155" spans="2:65" s="1" customFormat="1" ht="21.75" customHeight="1">
      <c r="B155" s="122"/>
      <c r="C155" s="123" t="s">
        <v>199</v>
      </c>
      <c r="D155" s="123" t="s">
        <v>118</v>
      </c>
      <c r="E155" s="124" t="s">
        <v>200</v>
      </c>
      <c r="F155" s="125" t="s">
        <v>201</v>
      </c>
      <c r="G155" s="126" t="s">
        <v>138</v>
      </c>
      <c r="H155" s="127">
        <f>45*0.002</f>
        <v>0.09</v>
      </c>
      <c r="I155" s="128">
        <v>333</v>
      </c>
      <c r="J155" s="128">
        <f t="shared" si="0"/>
        <v>29.97</v>
      </c>
      <c r="K155" s="129"/>
      <c r="L155" s="26"/>
      <c r="M155" s="130" t="s">
        <v>0</v>
      </c>
      <c r="N155" s="131" t="s">
        <v>32</v>
      </c>
      <c r="O155" s="132">
        <v>0.45200000000000001</v>
      </c>
      <c r="P155" s="132">
        <f t="shared" si="1"/>
        <v>4.0680000000000001E-2</v>
      </c>
      <c r="Q155" s="132">
        <v>0</v>
      </c>
      <c r="R155" s="132">
        <f t="shared" si="2"/>
        <v>0</v>
      </c>
      <c r="S155" s="132">
        <v>0</v>
      </c>
      <c r="T155" s="133">
        <f t="shared" si="3"/>
        <v>0</v>
      </c>
      <c r="AR155" s="134" t="s">
        <v>122</v>
      </c>
      <c r="AT155" s="134" t="s">
        <v>118</v>
      </c>
      <c r="AU155" s="134" t="s">
        <v>76</v>
      </c>
      <c r="AY155" s="14" t="s">
        <v>116</v>
      </c>
      <c r="BE155" s="135">
        <f t="shared" si="4"/>
        <v>29.97</v>
      </c>
      <c r="BF155" s="135">
        <f t="shared" si="5"/>
        <v>0</v>
      </c>
      <c r="BG155" s="135">
        <f t="shared" si="6"/>
        <v>0</v>
      </c>
      <c r="BH155" s="135">
        <f t="shared" si="7"/>
        <v>0</v>
      </c>
      <c r="BI155" s="135">
        <f t="shared" si="8"/>
        <v>0</v>
      </c>
      <c r="BJ155" s="14" t="s">
        <v>74</v>
      </c>
      <c r="BK155" s="135">
        <f t="shared" si="9"/>
        <v>29.97</v>
      </c>
      <c r="BL155" s="14" t="s">
        <v>122</v>
      </c>
      <c r="BM155" s="134" t="s">
        <v>202</v>
      </c>
    </row>
    <row r="156" spans="2:65" s="11" customFormat="1" ht="22.9" customHeight="1">
      <c r="B156" s="111"/>
      <c r="D156" s="112" t="s">
        <v>66</v>
      </c>
      <c r="E156" s="120" t="s">
        <v>76</v>
      </c>
      <c r="F156" s="120" t="s">
        <v>203</v>
      </c>
      <c r="J156" s="121">
        <f>BK156</f>
        <v>17845.25</v>
      </c>
      <c r="L156" s="111"/>
      <c r="M156" s="115"/>
      <c r="P156" s="116">
        <f>SUM(P157:P157)</f>
        <v>3.3189888000000001</v>
      </c>
      <c r="R156" s="116">
        <f>SUM(R157:R157)</f>
        <v>13.942537728</v>
      </c>
      <c r="T156" s="117">
        <f>SUM(T157:T157)</f>
        <v>0</v>
      </c>
      <c r="AR156" s="112" t="s">
        <v>74</v>
      </c>
      <c r="AT156" s="118" t="s">
        <v>66</v>
      </c>
      <c r="AU156" s="118" t="s">
        <v>74</v>
      </c>
      <c r="AY156" s="112" t="s">
        <v>116</v>
      </c>
      <c r="BK156" s="119">
        <f>SUM(BK157:BK157)</f>
        <v>17845.25</v>
      </c>
    </row>
    <row r="157" spans="2:65" s="1" customFormat="1" ht="16.5" customHeight="1">
      <c r="B157" s="122"/>
      <c r="C157" s="123" t="s">
        <v>6</v>
      </c>
      <c r="D157" s="123" t="s">
        <v>118</v>
      </c>
      <c r="E157" s="124" t="s">
        <v>204</v>
      </c>
      <c r="F157" s="125" t="s">
        <v>205</v>
      </c>
      <c r="G157" s="126" t="s">
        <v>138</v>
      </c>
      <c r="H157" s="127">
        <f>0.4*0.4*0.96*37</f>
        <v>5.6832000000000003</v>
      </c>
      <c r="I157" s="128">
        <v>3140</v>
      </c>
      <c r="J157" s="128">
        <f>ROUND(I157*H157,2)</f>
        <v>17845.25</v>
      </c>
      <c r="K157" s="129"/>
      <c r="L157" s="26"/>
      <c r="M157" s="130" t="s">
        <v>0</v>
      </c>
      <c r="N157" s="131" t="s">
        <v>32</v>
      </c>
      <c r="O157" s="132">
        <v>0.58399999999999996</v>
      </c>
      <c r="P157" s="132">
        <f>O157*H157</f>
        <v>3.3189888000000001</v>
      </c>
      <c r="Q157" s="132">
        <v>2.45329</v>
      </c>
      <c r="R157" s="132">
        <f>Q157*H157</f>
        <v>13.942537728</v>
      </c>
      <c r="S157" s="132">
        <v>0</v>
      </c>
      <c r="T157" s="133">
        <f>S157*H157</f>
        <v>0</v>
      </c>
      <c r="AR157" s="134" t="s">
        <v>122</v>
      </c>
      <c r="AT157" s="134" t="s">
        <v>118</v>
      </c>
      <c r="AU157" s="134" t="s">
        <v>76</v>
      </c>
      <c r="AY157" s="14" t="s">
        <v>116</v>
      </c>
      <c r="BE157" s="135">
        <f>IF(N157="základní",J157,0)</f>
        <v>17845.25</v>
      </c>
      <c r="BF157" s="135">
        <f>IF(N157="snížená",J157,0)</f>
        <v>0</v>
      </c>
      <c r="BG157" s="135">
        <f>IF(N157="zákl. přenesená",J157,0)</f>
        <v>0</v>
      </c>
      <c r="BH157" s="135">
        <f>IF(N157="sníž. přenesená",J157,0)</f>
        <v>0</v>
      </c>
      <c r="BI157" s="135">
        <f>IF(N157="nulová",J157,0)</f>
        <v>0</v>
      </c>
      <c r="BJ157" s="14" t="s">
        <v>74</v>
      </c>
      <c r="BK157" s="135">
        <f>ROUND(I157*H157,2)</f>
        <v>17845.25</v>
      </c>
      <c r="BL157" s="14" t="s">
        <v>122</v>
      </c>
      <c r="BM157" s="134" t="s">
        <v>206</v>
      </c>
    </row>
    <row r="158" spans="2:65" s="11" customFormat="1" ht="22.9" customHeight="1">
      <c r="B158" s="111"/>
      <c r="D158" s="112" t="s">
        <v>66</v>
      </c>
      <c r="E158" s="120" t="s">
        <v>127</v>
      </c>
      <c r="F158" s="120" t="s">
        <v>207</v>
      </c>
      <c r="J158" s="121">
        <f>BK158</f>
        <v>209153.13</v>
      </c>
      <c r="L158" s="111"/>
      <c r="M158" s="115"/>
      <c r="P158" s="116">
        <f>SUM(P159:P169)</f>
        <v>108.05523449999998</v>
      </c>
      <c r="R158" s="116">
        <f>SUM(R159:R169)</f>
        <v>22.725412650000003</v>
      </c>
      <c r="T158" s="117">
        <f>SUM(T159:T169)</f>
        <v>0</v>
      </c>
      <c r="AR158" s="112" t="s">
        <v>74</v>
      </c>
      <c r="AT158" s="118" t="s">
        <v>66</v>
      </c>
      <c r="AU158" s="118" t="s">
        <v>74</v>
      </c>
      <c r="AY158" s="112" t="s">
        <v>116</v>
      </c>
      <c r="BK158" s="119">
        <f>SUM(BK159:BK169)</f>
        <v>209153.13</v>
      </c>
    </row>
    <row r="159" spans="2:65" s="1" customFormat="1" ht="24.2" customHeight="1">
      <c r="B159" s="122"/>
      <c r="C159" s="123" t="s">
        <v>208</v>
      </c>
      <c r="D159" s="123" t="s">
        <v>118</v>
      </c>
      <c r="E159" s="124" t="s">
        <v>209</v>
      </c>
      <c r="F159" s="125" t="s">
        <v>210</v>
      </c>
      <c r="G159" s="126" t="s">
        <v>130</v>
      </c>
      <c r="H159" s="127">
        <v>18.3</v>
      </c>
      <c r="I159" s="128">
        <v>405</v>
      </c>
      <c r="J159" s="128">
        <f t="shared" ref="J159:J168" si="10">ROUND(I159*H159,2)</f>
        <v>7411.5</v>
      </c>
      <c r="K159" s="129"/>
      <c r="L159" s="26"/>
      <c r="M159" s="130" t="s">
        <v>0</v>
      </c>
      <c r="N159" s="131" t="s">
        <v>32</v>
      </c>
      <c r="O159" s="132">
        <v>0.64500000000000002</v>
      </c>
      <c r="P159" s="132">
        <f t="shared" ref="P159:P168" si="11">O159*H159</f>
        <v>11.803500000000001</v>
      </c>
      <c r="Q159" s="132">
        <v>0.12064</v>
      </c>
      <c r="R159" s="132">
        <f t="shared" ref="R159:R168" si="12">Q159*H159</f>
        <v>2.2077119999999999</v>
      </c>
      <c r="S159" s="132">
        <v>0</v>
      </c>
      <c r="T159" s="133">
        <f t="shared" ref="T159:T168" si="13">S159*H159</f>
        <v>0</v>
      </c>
      <c r="AR159" s="134" t="s">
        <v>122</v>
      </c>
      <c r="AT159" s="134" t="s">
        <v>118</v>
      </c>
      <c r="AU159" s="134" t="s">
        <v>76</v>
      </c>
      <c r="AY159" s="14" t="s">
        <v>116</v>
      </c>
      <c r="BE159" s="135">
        <f t="shared" ref="BE159:BE168" si="14">IF(N159="základní",J159,0)</f>
        <v>7411.5</v>
      </c>
      <c r="BF159" s="135">
        <f t="shared" ref="BF159:BF168" si="15">IF(N159="snížená",J159,0)</f>
        <v>0</v>
      </c>
      <c r="BG159" s="135">
        <f t="shared" ref="BG159:BG168" si="16">IF(N159="zákl. přenesená",J159,0)</f>
        <v>0</v>
      </c>
      <c r="BH159" s="135">
        <f t="shared" ref="BH159:BH168" si="17">IF(N159="sníž. přenesená",J159,0)</f>
        <v>0</v>
      </c>
      <c r="BI159" s="135">
        <f t="shared" ref="BI159:BI168" si="18">IF(N159="nulová",J159,0)</f>
        <v>0</v>
      </c>
      <c r="BJ159" s="14" t="s">
        <v>74</v>
      </c>
      <c r="BK159" s="135">
        <f t="shared" ref="BK159:BK168" si="19">ROUND(I159*H159,2)</f>
        <v>7411.5</v>
      </c>
      <c r="BL159" s="14" t="s">
        <v>122</v>
      </c>
      <c r="BM159" s="134" t="s">
        <v>211</v>
      </c>
    </row>
    <row r="160" spans="2:65" s="1" customFormat="1" ht="24.2" customHeight="1">
      <c r="B160" s="122"/>
      <c r="C160" s="142" t="s">
        <v>212</v>
      </c>
      <c r="D160" s="142" t="s">
        <v>167</v>
      </c>
      <c r="E160" s="143" t="s">
        <v>213</v>
      </c>
      <c r="F160" s="144" t="s">
        <v>214</v>
      </c>
      <c r="G160" s="145" t="s">
        <v>215</v>
      </c>
      <c r="H160" s="146">
        <f>18.3*5</f>
        <v>91.5</v>
      </c>
      <c r="I160" s="147">
        <v>136</v>
      </c>
      <c r="J160" s="147">
        <f t="shared" si="10"/>
        <v>12444</v>
      </c>
      <c r="K160" s="148"/>
      <c r="L160" s="149"/>
      <c r="M160" s="150" t="s">
        <v>0</v>
      </c>
      <c r="N160" s="151" t="s">
        <v>32</v>
      </c>
      <c r="O160" s="132">
        <v>0</v>
      </c>
      <c r="P160" s="132">
        <f t="shared" si="11"/>
        <v>0</v>
      </c>
      <c r="Q160" s="132">
        <v>1.0999999999999999E-2</v>
      </c>
      <c r="R160" s="132">
        <f t="shared" si="12"/>
        <v>1.0065</v>
      </c>
      <c r="S160" s="132">
        <v>0</v>
      </c>
      <c r="T160" s="133">
        <f t="shared" si="13"/>
        <v>0</v>
      </c>
      <c r="AR160" s="134" t="s">
        <v>149</v>
      </c>
      <c r="AT160" s="134" t="s">
        <v>167</v>
      </c>
      <c r="AU160" s="134" t="s">
        <v>76</v>
      </c>
      <c r="AY160" s="14" t="s">
        <v>116</v>
      </c>
      <c r="BE160" s="135">
        <f t="shared" si="14"/>
        <v>12444</v>
      </c>
      <c r="BF160" s="135">
        <f t="shared" si="15"/>
        <v>0</v>
      </c>
      <c r="BG160" s="135">
        <f t="shared" si="16"/>
        <v>0</v>
      </c>
      <c r="BH160" s="135">
        <f t="shared" si="17"/>
        <v>0</v>
      </c>
      <c r="BI160" s="135">
        <f t="shared" si="18"/>
        <v>0</v>
      </c>
      <c r="BJ160" s="14" t="s">
        <v>74</v>
      </c>
      <c r="BK160" s="135">
        <f t="shared" si="19"/>
        <v>12444</v>
      </c>
      <c r="BL160" s="14" t="s">
        <v>122</v>
      </c>
      <c r="BM160" s="134" t="s">
        <v>216</v>
      </c>
    </row>
    <row r="161" spans="2:65" s="1" customFormat="1" ht="24.2" customHeight="1">
      <c r="B161" s="122"/>
      <c r="C161" s="123" t="s">
        <v>217</v>
      </c>
      <c r="D161" s="123" t="s">
        <v>118</v>
      </c>
      <c r="E161" s="124" t="s">
        <v>218</v>
      </c>
      <c r="F161" s="125" t="s">
        <v>219</v>
      </c>
      <c r="G161" s="126" t="s">
        <v>130</v>
      </c>
      <c r="H161" s="127">
        <v>9.8000000000000007</v>
      </c>
      <c r="I161" s="128">
        <v>675</v>
      </c>
      <c r="J161" s="128">
        <f t="shared" si="10"/>
        <v>6615</v>
      </c>
      <c r="K161" s="129"/>
      <c r="L161" s="26"/>
      <c r="M161" s="130" t="s">
        <v>0</v>
      </c>
      <c r="N161" s="131" t="s">
        <v>32</v>
      </c>
      <c r="O161" s="132">
        <v>0.96499999999999997</v>
      </c>
      <c r="P161" s="132">
        <f t="shared" si="11"/>
        <v>9.4570000000000007</v>
      </c>
      <c r="Q161" s="132">
        <v>0.24127000000000001</v>
      </c>
      <c r="R161" s="132">
        <f t="shared" si="12"/>
        <v>2.3644460000000005</v>
      </c>
      <c r="S161" s="132">
        <v>0</v>
      </c>
      <c r="T161" s="133">
        <f t="shared" si="13"/>
        <v>0</v>
      </c>
      <c r="AR161" s="134" t="s">
        <v>122</v>
      </c>
      <c r="AT161" s="134" t="s">
        <v>118</v>
      </c>
      <c r="AU161" s="134" t="s">
        <v>76</v>
      </c>
      <c r="AY161" s="14" t="s">
        <v>116</v>
      </c>
      <c r="BE161" s="135">
        <f t="shared" si="14"/>
        <v>6615</v>
      </c>
      <c r="BF161" s="135">
        <f t="shared" si="15"/>
        <v>0</v>
      </c>
      <c r="BG161" s="135">
        <f t="shared" si="16"/>
        <v>0</v>
      </c>
      <c r="BH161" s="135">
        <f t="shared" si="17"/>
        <v>0</v>
      </c>
      <c r="BI161" s="135">
        <f t="shared" si="18"/>
        <v>0</v>
      </c>
      <c r="BJ161" s="14" t="s">
        <v>74</v>
      </c>
      <c r="BK161" s="135">
        <f t="shared" si="19"/>
        <v>6615</v>
      </c>
      <c r="BL161" s="14" t="s">
        <v>122</v>
      </c>
      <c r="BM161" s="134" t="s">
        <v>220</v>
      </c>
    </row>
    <row r="162" spans="2:65" s="1" customFormat="1" ht="24.2" customHeight="1">
      <c r="B162" s="122"/>
      <c r="C162" s="142" t="s">
        <v>221</v>
      </c>
      <c r="D162" s="142" t="s">
        <v>167</v>
      </c>
      <c r="E162" s="143" t="s">
        <v>222</v>
      </c>
      <c r="F162" s="144" t="s">
        <v>223</v>
      </c>
      <c r="G162" s="145" t="s">
        <v>215</v>
      </c>
      <c r="H162" s="146">
        <f>1.8*5</f>
        <v>9</v>
      </c>
      <c r="I162" s="147">
        <v>206</v>
      </c>
      <c r="J162" s="147">
        <f t="shared" si="10"/>
        <v>1854</v>
      </c>
      <c r="K162" s="148"/>
      <c r="L162" s="149"/>
      <c r="M162" s="150" t="s">
        <v>0</v>
      </c>
      <c r="N162" s="151" t="s">
        <v>32</v>
      </c>
      <c r="O162" s="132">
        <v>0</v>
      </c>
      <c r="P162" s="132">
        <f t="shared" si="11"/>
        <v>0</v>
      </c>
      <c r="Q162" s="132">
        <v>3.6499999999999998E-2</v>
      </c>
      <c r="R162" s="132">
        <f t="shared" si="12"/>
        <v>0.32849999999999996</v>
      </c>
      <c r="S162" s="132">
        <v>0</v>
      </c>
      <c r="T162" s="133">
        <f t="shared" si="13"/>
        <v>0</v>
      </c>
      <c r="AR162" s="134" t="s">
        <v>149</v>
      </c>
      <c r="AT162" s="134" t="s">
        <v>167</v>
      </c>
      <c r="AU162" s="134" t="s">
        <v>76</v>
      </c>
      <c r="AY162" s="14" t="s">
        <v>116</v>
      </c>
      <c r="BE162" s="135">
        <f t="shared" si="14"/>
        <v>1854</v>
      </c>
      <c r="BF162" s="135">
        <f t="shared" si="15"/>
        <v>0</v>
      </c>
      <c r="BG162" s="135">
        <f t="shared" si="16"/>
        <v>0</v>
      </c>
      <c r="BH162" s="135">
        <f t="shared" si="17"/>
        <v>0</v>
      </c>
      <c r="BI162" s="135">
        <f t="shared" si="18"/>
        <v>0</v>
      </c>
      <c r="BJ162" s="14" t="s">
        <v>74</v>
      </c>
      <c r="BK162" s="135">
        <f t="shared" si="19"/>
        <v>1854</v>
      </c>
      <c r="BL162" s="14" t="s">
        <v>122</v>
      </c>
      <c r="BM162" s="134" t="s">
        <v>224</v>
      </c>
    </row>
    <row r="163" spans="2:65" s="1" customFormat="1" ht="24.2" customHeight="1">
      <c r="B163" s="122"/>
      <c r="C163" s="142" t="s">
        <v>225</v>
      </c>
      <c r="D163" s="142" t="s">
        <v>167</v>
      </c>
      <c r="E163" s="143" t="s">
        <v>226</v>
      </c>
      <c r="F163" s="144" t="s">
        <v>227</v>
      </c>
      <c r="G163" s="145" t="s">
        <v>215</v>
      </c>
      <c r="H163" s="146">
        <f>8*5</f>
        <v>40</v>
      </c>
      <c r="I163" s="147">
        <v>262</v>
      </c>
      <c r="J163" s="147">
        <f t="shared" si="10"/>
        <v>10480</v>
      </c>
      <c r="K163" s="148"/>
      <c r="L163" s="149"/>
      <c r="M163" s="150" t="s">
        <v>0</v>
      </c>
      <c r="N163" s="151" t="s">
        <v>32</v>
      </c>
      <c r="O163" s="132">
        <v>0</v>
      </c>
      <c r="P163" s="132">
        <f t="shared" si="11"/>
        <v>0</v>
      </c>
      <c r="Q163" s="132">
        <v>5.0500000000000003E-2</v>
      </c>
      <c r="R163" s="132">
        <f t="shared" si="12"/>
        <v>2.02</v>
      </c>
      <c r="S163" s="132">
        <v>0</v>
      </c>
      <c r="T163" s="133">
        <f t="shared" si="13"/>
        <v>0</v>
      </c>
      <c r="AR163" s="134" t="s">
        <v>149</v>
      </c>
      <c r="AT163" s="134" t="s">
        <v>167</v>
      </c>
      <c r="AU163" s="134" t="s">
        <v>76</v>
      </c>
      <c r="AY163" s="14" t="s">
        <v>116</v>
      </c>
      <c r="BE163" s="135">
        <f t="shared" si="14"/>
        <v>10480</v>
      </c>
      <c r="BF163" s="135">
        <f t="shared" si="15"/>
        <v>0</v>
      </c>
      <c r="BG163" s="135">
        <f t="shared" si="16"/>
        <v>0</v>
      </c>
      <c r="BH163" s="135">
        <f t="shared" si="17"/>
        <v>0</v>
      </c>
      <c r="BI163" s="135">
        <f t="shared" si="18"/>
        <v>0</v>
      </c>
      <c r="BJ163" s="14" t="s">
        <v>74</v>
      </c>
      <c r="BK163" s="135">
        <f t="shared" si="19"/>
        <v>10480</v>
      </c>
      <c r="BL163" s="14" t="s">
        <v>122</v>
      </c>
      <c r="BM163" s="134" t="s">
        <v>228</v>
      </c>
    </row>
    <row r="164" spans="2:65" s="1" customFormat="1" ht="24.2" customHeight="1">
      <c r="B164" s="122"/>
      <c r="C164" s="123" t="s">
        <v>229</v>
      </c>
      <c r="D164" s="123" t="s">
        <v>118</v>
      </c>
      <c r="E164" s="124" t="s">
        <v>230</v>
      </c>
      <c r="F164" s="125" t="s">
        <v>231</v>
      </c>
      <c r="G164" s="126" t="s">
        <v>215</v>
      </c>
      <c r="H164" s="127">
        <v>31</v>
      </c>
      <c r="I164" s="128">
        <v>484</v>
      </c>
      <c r="J164" s="128">
        <f t="shared" si="10"/>
        <v>15004</v>
      </c>
      <c r="K164" s="129"/>
      <c r="L164" s="26"/>
      <c r="M164" s="130" t="s">
        <v>0</v>
      </c>
      <c r="N164" s="131" t="s">
        <v>32</v>
      </c>
      <c r="O164" s="132">
        <v>1.25</v>
      </c>
      <c r="P164" s="132">
        <f t="shared" si="11"/>
        <v>38.75</v>
      </c>
      <c r="Q164" s="132">
        <v>4.0000000000000002E-4</v>
      </c>
      <c r="R164" s="132">
        <f t="shared" si="12"/>
        <v>1.2400000000000001E-2</v>
      </c>
      <c r="S164" s="132">
        <v>0</v>
      </c>
      <c r="T164" s="133">
        <f t="shared" si="13"/>
        <v>0</v>
      </c>
      <c r="AR164" s="134" t="s">
        <v>122</v>
      </c>
      <c r="AT164" s="134" t="s">
        <v>118</v>
      </c>
      <c r="AU164" s="134" t="s">
        <v>76</v>
      </c>
      <c r="AY164" s="14" t="s">
        <v>116</v>
      </c>
      <c r="BE164" s="135">
        <f t="shared" si="14"/>
        <v>15004</v>
      </c>
      <c r="BF164" s="135">
        <f t="shared" si="15"/>
        <v>0</v>
      </c>
      <c r="BG164" s="135">
        <f t="shared" si="16"/>
        <v>0</v>
      </c>
      <c r="BH164" s="135">
        <f t="shared" si="17"/>
        <v>0</v>
      </c>
      <c r="BI164" s="135">
        <f t="shared" si="18"/>
        <v>0</v>
      </c>
      <c r="BJ164" s="14" t="s">
        <v>74</v>
      </c>
      <c r="BK164" s="135">
        <f t="shared" si="19"/>
        <v>15004</v>
      </c>
      <c r="BL164" s="14" t="s">
        <v>122</v>
      </c>
      <c r="BM164" s="134" t="s">
        <v>232</v>
      </c>
    </row>
    <row r="165" spans="2:65" s="1" customFormat="1" ht="16.5" customHeight="1">
      <c r="B165" s="122"/>
      <c r="C165" s="142" t="s">
        <v>233</v>
      </c>
      <c r="D165" s="142" t="s">
        <v>167</v>
      </c>
      <c r="E165" s="143" t="s">
        <v>234</v>
      </c>
      <c r="F165" s="144" t="s">
        <v>235</v>
      </c>
      <c r="G165" s="145" t="s">
        <v>215</v>
      </c>
      <c r="H165" s="146">
        <v>35</v>
      </c>
      <c r="I165" s="147">
        <v>696</v>
      </c>
      <c r="J165" s="147">
        <f t="shared" si="10"/>
        <v>24360</v>
      </c>
      <c r="K165" s="148"/>
      <c r="L165" s="149"/>
      <c r="M165" s="150" t="s">
        <v>0</v>
      </c>
      <c r="N165" s="151" t="s">
        <v>32</v>
      </c>
      <c r="O165" s="132">
        <v>0</v>
      </c>
      <c r="P165" s="132">
        <f t="shared" si="11"/>
        <v>0</v>
      </c>
      <c r="Q165" s="132">
        <v>7.0000000000000007E-2</v>
      </c>
      <c r="R165" s="132">
        <f t="shared" si="12"/>
        <v>2.4500000000000002</v>
      </c>
      <c r="S165" s="132">
        <v>0</v>
      </c>
      <c r="T165" s="133">
        <f t="shared" si="13"/>
        <v>0</v>
      </c>
      <c r="AR165" s="134" t="s">
        <v>149</v>
      </c>
      <c r="AT165" s="134" t="s">
        <v>167</v>
      </c>
      <c r="AU165" s="134" t="s">
        <v>76</v>
      </c>
      <c r="AY165" s="14" t="s">
        <v>116</v>
      </c>
      <c r="BE165" s="135">
        <f t="shared" si="14"/>
        <v>24360</v>
      </c>
      <c r="BF165" s="135">
        <f t="shared" si="15"/>
        <v>0</v>
      </c>
      <c r="BG165" s="135">
        <f t="shared" si="16"/>
        <v>0</v>
      </c>
      <c r="BH165" s="135">
        <f t="shared" si="17"/>
        <v>0</v>
      </c>
      <c r="BI165" s="135">
        <f t="shared" si="18"/>
        <v>0</v>
      </c>
      <c r="BJ165" s="14" t="s">
        <v>74</v>
      </c>
      <c r="BK165" s="135">
        <f t="shared" si="19"/>
        <v>24360</v>
      </c>
      <c r="BL165" s="14" t="s">
        <v>122</v>
      </c>
      <c r="BM165" s="134" t="s">
        <v>236</v>
      </c>
    </row>
    <row r="166" spans="2:65" s="1" customFormat="1" ht="24.2" customHeight="1">
      <c r="B166" s="122"/>
      <c r="C166" s="123" t="s">
        <v>237</v>
      </c>
      <c r="D166" s="123" t="s">
        <v>118</v>
      </c>
      <c r="E166" s="124" t="s">
        <v>238</v>
      </c>
      <c r="F166" s="125" t="s">
        <v>239</v>
      </c>
      <c r="G166" s="126" t="s">
        <v>130</v>
      </c>
      <c r="H166" s="127">
        <f>3.6+2.37+1.5+15.72+36.25-1.31-1.31+19.45-4</f>
        <v>72.27</v>
      </c>
      <c r="I166" s="128">
        <v>215</v>
      </c>
      <c r="J166" s="128">
        <f t="shared" si="10"/>
        <v>15538.05</v>
      </c>
      <c r="K166" s="129"/>
      <c r="L166" s="26"/>
      <c r="M166" s="130" t="s">
        <v>0</v>
      </c>
      <c r="N166" s="131" t="s">
        <v>32</v>
      </c>
      <c r="O166" s="132">
        <v>0.63200000000000001</v>
      </c>
      <c r="P166" s="132">
        <f t="shared" si="11"/>
        <v>45.674639999999997</v>
      </c>
      <c r="Q166" s="132">
        <v>0</v>
      </c>
      <c r="R166" s="132">
        <f t="shared" si="12"/>
        <v>0</v>
      </c>
      <c r="S166" s="132">
        <v>0</v>
      </c>
      <c r="T166" s="133">
        <f t="shared" si="13"/>
        <v>0</v>
      </c>
      <c r="AR166" s="134" t="s">
        <v>122</v>
      </c>
      <c r="AT166" s="134" t="s">
        <v>118</v>
      </c>
      <c r="AU166" s="134" t="s">
        <v>76</v>
      </c>
      <c r="AY166" s="14" t="s">
        <v>116</v>
      </c>
      <c r="BE166" s="135">
        <f t="shared" si="14"/>
        <v>15538.05</v>
      </c>
      <c r="BF166" s="135">
        <f t="shared" si="15"/>
        <v>0</v>
      </c>
      <c r="BG166" s="135">
        <f t="shared" si="16"/>
        <v>0</v>
      </c>
      <c r="BH166" s="135">
        <f t="shared" si="17"/>
        <v>0</v>
      </c>
      <c r="BI166" s="135">
        <f t="shared" si="18"/>
        <v>0</v>
      </c>
      <c r="BJ166" s="14" t="s">
        <v>74</v>
      </c>
      <c r="BK166" s="135">
        <f t="shared" si="19"/>
        <v>15538.05</v>
      </c>
      <c r="BL166" s="14" t="s">
        <v>122</v>
      </c>
      <c r="BM166" s="134" t="s">
        <v>240</v>
      </c>
    </row>
    <row r="167" spans="2:65" s="1" customFormat="1" ht="24.2" customHeight="1">
      <c r="B167" s="122"/>
      <c r="C167" s="142" t="s">
        <v>241</v>
      </c>
      <c r="D167" s="142" t="s">
        <v>167</v>
      </c>
      <c r="E167" s="143" t="s">
        <v>242</v>
      </c>
      <c r="F167" s="144" t="s">
        <v>243</v>
      </c>
      <c r="G167" s="145" t="s">
        <v>121</v>
      </c>
      <c r="H167" s="146">
        <f>72.27*1.83</f>
        <v>132.25409999999999</v>
      </c>
      <c r="I167" s="147">
        <v>850</v>
      </c>
      <c r="J167" s="147">
        <f t="shared" si="10"/>
        <v>112415.99</v>
      </c>
      <c r="K167" s="148"/>
      <c r="L167" s="149"/>
      <c r="M167" s="150" t="s">
        <v>0</v>
      </c>
      <c r="N167" s="151" t="s">
        <v>32</v>
      </c>
      <c r="O167" s="132">
        <v>0</v>
      </c>
      <c r="P167" s="132">
        <f t="shared" si="11"/>
        <v>0</v>
      </c>
      <c r="Q167" s="132">
        <v>8.5000000000000006E-2</v>
      </c>
      <c r="R167" s="132">
        <f t="shared" si="12"/>
        <v>11.2415985</v>
      </c>
      <c r="S167" s="132">
        <v>0</v>
      </c>
      <c r="T167" s="133">
        <f t="shared" si="13"/>
        <v>0</v>
      </c>
      <c r="AR167" s="134" t="s">
        <v>149</v>
      </c>
      <c r="AT167" s="134" t="s">
        <v>167</v>
      </c>
      <c r="AU167" s="134" t="s">
        <v>76</v>
      </c>
      <c r="AY167" s="14" t="s">
        <v>116</v>
      </c>
      <c r="BE167" s="135">
        <f t="shared" si="14"/>
        <v>112415.99</v>
      </c>
      <c r="BF167" s="135">
        <f t="shared" si="15"/>
        <v>0</v>
      </c>
      <c r="BG167" s="135">
        <f t="shared" si="16"/>
        <v>0</v>
      </c>
      <c r="BH167" s="135">
        <f t="shared" si="17"/>
        <v>0</v>
      </c>
      <c r="BI167" s="135">
        <f t="shared" si="18"/>
        <v>0</v>
      </c>
      <c r="BJ167" s="14" t="s">
        <v>74</v>
      </c>
      <c r="BK167" s="135">
        <f t="shared" si="19"/>
        <v>112415.99</v>
      </c>
      <c r="BL167" s="14" t="s">
        <v>122</v>
      </c>
      <c r="BM167" s="134" t="s">
        <v>244</v>
      </c>
    </row>
    <row r="168" spans="2:65" s="1" customFormat="1" ht="16.5" customHeight="1">
      <c r="B168" s="122"/>
      <c r="C168" s="123" t="s">
        <v>245</v>
      </c>
      <c r="D168" s="123" t="s">
        <v>118</v>
      </c>
      <c r="E168" s="124" t="s">
        <v>246</v>
      </c>
      <c r="F168" s="125" t="s">
        <v>247</v>
      </c>
      <c r="G168" s="126" t="s">
        <v>138</v>
      </c>
      <c r="H168" s="127">
        <f>(7.8+20.3)*0.1*0.15</f>
        <v>0.42150000000000004</v>
      </c>
      <c r="I168" s="128">
        <v>7190</v>
      </c>
      <c r="J168" s="128">
        <f t="shared" si="10"/>
        <v>3030.59</v>
      </c>
      <c r="K168" s="129"/>
      <c r="L168" s="26"/>
      <c r="M168" s="130" t="s">
        <v>0</v>
      </c>
      <c r="N168" s="131" t="s">
        <v>32</v>
      </c>
      <c r="O168" s="132">
        <v>5.6230000000000002</v>
      </c>
      <c r="P168" s="132">
        <f t="shared" si="11"/>
        <v>2.3700945000000004</v>
      </c>
      <c r="Q168" s="132">
        <v>2.5960999999999999</v>
      </c>
      <c r="R168" s="132">
        <f t="shared" si="12"/>
        <v>1.0942561500000001</v>
      </c>
      <c r="S168" s="132">
        <v>0</v>
      </c>
      <c r="T168" s="133">
        <f t="shared" si="13"/>
        <v>0</v>
      </c>
      <c r="AR168" s="134" t="s">
        <v>122</v>
      </c>
      <c r="AT168" s="134" t="s">
        <v>118</v>
      </c>
      <c r="AU168" s="134" t="s">
        <v>76</v>
      </c>
      <c r="AY168" s="14" t="s">
        <v>116</v>
      </c>
      <c r="BE168" s="135">
        <f t="shared" si="14"/>
        <v>3030.59</v>
      </c>
      <c r="BF168" s="135">
        <f t="shared" si="15"/>
        <v>0</v>
      </c>
      <c r="BG168" s="135">
        <f t="shared" si="16"/>
        <v>0</v>
      </c>
      <c r="BH168" s="135">
        <f t="shared" si="17"/>
        <v>0</v>
      </c>
      <c r="BI168" s="135">
        <f t="shared" si="18"/>
        <v>0</v>
      </c>
      <c r="BJ168" s="14" t="s">
        <v>74</v>
      </c>
      <c r="BK168" s="135">
        <f t="shared" si="19"/>
        <v>3030.59</v>
      </c>
      <c r="BL168" s="14" t="s">
        <v>122</v>
      </c>
      <c r="BM168" s="134" t="s">
        <v>248</v>
      </c>
    </row>
    <row r="169" spans="2:65" s="12" customFormat="1">
      <c r="B169" s="137"/>
      <c r="D169" s="136" t="s">
        <v>140</v>
      </c>
      <c r="E169" s="138" t="s">
        <v>0</v>
      </c>
      <c r="F169" s="139" t="s">
        <v>249</v>
      </c>
      <c r="H169" s="138" t="s">
        <v>0</v>
      </c>
      <c r="L169" s="137"/>
      <c r="M169" s="140"/>
      <c r="T169" s="141"/>
      <c r="AT169" s="138" t="s">
        <v>140</v>
      </c>
      <c r="AU169" s="138" t="s">
        <v>76</v>
      </c>
      <c r="AV169" s="12" t="s">
        <v>74</v>
      </c>
      <c r="AW169" s="12" t="s">
        <v>24</v>
      </c>
      <c r="AX169" s="12" t="s">
        <v>67</v>
      </c>
      <c r="AY169" s="138" t="s">
        <v>116</v>
      </c>
    </row>
    <row r="170" spans="2:65" s="11" customFormat="1" ht="22.9" customHeight="1">
      <c r="B170" s="111"/>
      <c r="D170" s="112" t="s">
        <v>66</v>
      </c>
      <c r="E170" s="120" t="s">
        <v>135</v>
      </c>
      <c r="F170" s="120" t="s">
        <v>250</v>
      </c>
      <c r="J170" s="121">
        <f>BK170</f>
        <v>691002.8</v>
      </c>
      <c r="L170" s="111"/>
      <c r="M170" s="115"/>
      <c r="P170" s="116">
        <f>SUM(P171:P177)</f>
        <v>282.786</v>
      </c>
      <c r="R170" s="116">
        <f>SUM(R171:R177)</f>
        <v>367.46317399999998</v>
      </c>
      <c r="T170" s="117">
        <f>SUM(T171:T177)</f>
        <v>0</v>
      </c>
      <c r="AR170" s="112" t="s">
        <v>74</v>
      </c>
      <c r="AT170" s="118" t="s">
        <v>66</v>
      </c>
      <c r="AU170" s="118" t="s">
        <v>74</v>
      </c>
      <c r="AY170" s="112" t="s">
        <v>116</v>
      </c>
      <c r="BK170" s="119">
        <f>SUM(BK171:BK177)</f>
        <v>691002.8</v>
      </c>
    </row>
    <row r="171" spans="2:65" s="1" customFormat="1" ht="37.9" customHeight="1">
      <c r="B171" s="122"/>
      <c r="C171" s="123" t="s">
        <v>251</v>
      </c>
      <c r="D171" s="123" t="s">
        <v>118</v>
      </c>
      <c r="E171" s="124" t="s">
        <v>252</v>
      </c>
      <c r="F171" s="125" t="s">
        <v>253</v>
      </c>
      <c r="G171" s="126" t="s">
        <v>121</v>
      </c>
      <c r="H171" s="127">
        <v>703</v>
      </c>
      <c r="I171" s="128">
        <v>272</v>
      </c>
      <c r="J171" s="128">
        <f t="shared" ref="J171:J177" si="20">ROUND(I171*H171,2)</f>
        <v>191216</v>
      </c>
      <c r="K171" s="129"/>
      <c r="L171" s="26"/>
      <c r="M171" s="130" t="s">
        <v>0</v>
      </c>
      <c r="N171" s="131" t="s">
        <v>32</v>
      </c>
      <c r="O171" s="132">
        <v>0.317</v>
      </c>
      <c r="P171" s="132">
        <f t="shared" ref="P171:P177" si="21">O171*H171</f>
        <v>222.851</v>
      </c>
      <c r="Q171" s="132">
        <v>0.28000000000000003</v>
      </c>
      <c r="R171" s="132">
        <f t="shared" ref="R171:R177" si="22">Q171*H171</f>
        <v>196.84000000000003</v>
      </c>
      <c r="S171" s="132">
        <v>0</v>
      </c>
      <c r="T171" s="133">
        <f t="shared" ref="T171:T177" si="23">S171*H171</f>
        <v>0</v>
      </c>
      <c r="AR171" s="134" t="s">
        <v>122</v>
      </c>
      <c r="AT171" s="134" t="s">
        <v>118</v>
      </c>
      <c r="AU171" s="134" t="s">
        <v>76</v>
      </c>
      <c r="AY171" s="14" t="s">
        <v>116</v>
      </c>
      <c r="BE171" s="135">
        <f t="shared" ref="BE171:BE177" si="24">IF(N171="základní",J171,0)</f>
        <v>191216</v>
      </c>
      <c r="BF171" s="135">
        <f t="shared" ref="BF171:BF177" si="25">IF(N171="snížená",J171,0)</f>
        <v>0</v>
      </c>
      <c r="BG171" s="135">
        <f t="shared" ref="BG171:BG177" si="26">IF(N171="zákl. přenesená",J171,0)</f>
        <v>0</v>
      </c>
      <c r="BH171" s="135">
        <f t="shared" ref="BH171:BH177" si="27">IF(N171="sníž. přenesená",J171,0)</f>
        <v>0</v>
      </c>
      <c r="BI171" s="135">
        <f t="shared" ref="BI171:BI177" si="28">IF(N171="nulová",J171,0)</f>
        <v>0</v>
      </c>
      <c r="BJ171" s="14" t="s">
        <v>74</v>
      </c>
      <c r="BK171" s="135">
        <f t="shared" ref="BK171:BK177" si="29">ROUND(I171*H171,2)</f>
        <v>191216</v>
      </c>
      <c r="BL171" s="14" t="s">
        <v>122</v>
      </c>
      <c r="BM171" s="134" t="s">
        <v>254</v>
      </c>
    </row>
    <row r="172" spans="2:65" s="1" customFormat="1" ht="24.2" customHeight="1">
      <c r="B172" s="122"/>
      <c r="C172" s="123" t="s">
        <v>255</v>
      </c>
      <c r="D172" s="123" t="s">
        <v>118</v>
      </c>
      <c r="E172" s="124" t="s">
        <v>256</v>
      </c>
      <c r="F172" s="125" t="s">
        <v>257</v>
      </c>
      <c r="G172" s="126" t="s">
        <v>121</v>
      </c>
      <c r="H172" s="127">
        <v>19</v>
      </c>
      <c r="I172" s="128">
        <v>194</v>
      </c>
      <c r="J172" s="128">
        <f t="shared" si="20"/>
        <v>3686</v>
      </c>
      <c r="K172" s="129"/>
      <c r="L172" s="26"/>
      <c r="M172" s="130" t="s">
        <v>0</v>
      </c>
      <c r="N172" s="131" t="s">
        <v>32</v>
      </c>
      <c r="O172" s="132">
        <v>2.7E-2</v>
      </c>
      <c r="P172" s="132">
        <f t="shared" si="21"/>
        <v>0.51300000000000001</v>
      </c>
      <c r="Q172" s="132">
        <v>0.29899999999999999</v>
      </c>
      <c r="R172" s="132">
        <f t="shared" si="22"/>
        <v>5.681</v>
      </c>
      <c r="S172" s="132">
        <v>0</v>
      </c>
      <c r="T172" s="133">
        <f t="shared" si="23"/>
        <v>0</v>
      </c>
      <c r="AR172" s="134" t="s">
        <v>122</v>
      </c>
      <c r="AT172" s="134" t="s">
        <v>118</v>
      </c>
      <c r="AU172" s="134" t="s">
        <v>76</v>
      </c>
      <c r="AY172" s="14" t="s">
        <v>116</v>
      </c>
      <c r="BE172" s="135">
        <f t="shared" si="24"/>
        <v>3686</v>
      </c>
      <c r="BF172" s="135">
        <f t="shared" si="25"/>
        <v>0</v>
      </c>
      <c r="BG172" s="135">
        <f t="shared" si="26"/>
        <v>0</v>
      </c>
      <c r="BH172" s="135">
        <f t="shared" si="27"/>
        <v>0</v>
      </c>
      <c r="BI172" s="135">
        <f t="shared" si="28"/>
        <v>0</v>
      </c>
      <c r="BJ172" s="14" t="s">
        <v>74</v>
      </c>
      <c r="BK172" s="135">
        <f t="shared" si="29"/>
        <v>3686</v>
      </c>
      <c r="BL172" s="14" t="s">
        <v>122</v>
      </c>
      <c r="BM172" s="134" t="s">
        <v>258</v>
      </c>
    </row>
    <row r="173" spans="2:65" s="1" customFormat="1" ht="24.2" customHeight="1">
      <c r="B173" s="122"/>
      <c r="C173" s="123" t="s">
        <v>259</v>
      </c>
      <c r="D173" s="123" t="s">
        <v>118</v>
      </c>
      <c r="E173" s="124" t="s">
        <v>260</v>
      </c>
      <c r="F173" s="125" t="s">
        <v>261</v>
      </c>
      <c r="G173" s="126" t="s">
        <v>121</v>
      </c>
      <c r="H173" s="127">
        <v>703</v>
      </c>
      <c r="I173" s="128">
        <v>360</v>
      </c>
      <c r="J173" s="128">
        <f t="shared" si="20"/>
        <v>253080</v>
      </c>
      <c r="K173" s="129"/>
      <c r="L173" s="26"/>
      <c r="M173" s="130" t="s">
        <v>0</v>
      </c>
      <c r="N173" s="131" t="s">
        <v>32</v>
      </c>
      <c r="O173" s="132">
        <v>1.2E-2</v>
      </c>
      <c r="P173" s="132">
        <f t="shared" si="21"/>
        <v>8.4359999999999999</v>
      </c>
      <c r="Q173" s="132">
        <v>0.15989999999999999</v>
      </c>
      <c r="R173" s="132">
        <f t="shared" si="22"/>
        <v>112.40969999999999</v>
      </c>
      <c r="S173" s="132">
        <v>0</v>
      </c>
      <c r="T173" s="133">
        <f t="shared" si="23"/>
        <v>0</v>
      </c>
      <c r="AR173" s="134" t="s">
        <v>122</v>
      </c>
      <c r="AT173" s="134" t="s">
        <v>118</v>
      </c>
      <c r="AU173" s="134" t="s">
        <v>76</v>
      </c>
      <c r="AY173" s="14" t="s">
        <v>116</v>
      </c>
      <c r="BE173" s="135">
        <f t="shared" si="24"/>
        <v>253080</v>
      </c>
      <c r="BF173" s="135">
        <f t="shared" si="25"/>
        <v>0</v>
      </c>
      <c r="BG173" s="135">
        <f t="shared" si="26"/>
        <v>0</v>
      </c>
      <c r="BH173" s="135">
        <f t="shared" si="27"/>
        <v>0</v>
      </c>
      <c r="BI173" s="135">
        <f t="shared" si="28"/>
        <v>0</v>
      </c>
      <c r="BJ173" s="14" t="s">
        <v>74</v>
      </c>
      <c r="BK173" s="135">
        <f t="shared" si="29"/>
        <v>253080</v>
      </c>
      <c r="BL173" s="14" t="s">
        <v>122</v>
      </c>
      <c r="BM173" s="134" t="s">
        <v>262</v>
      </c>
    </row>
    <row r="174" spans="2:65" s="1" customFormat="1" ht="24.2" customHeight="1">
      <c r="B174" s="122"/>
      <c r="C174" s="123" t="s">
        <v>263</v>
      </c>
      <c r="D174" s="123" t="s">
        <v>118</v>
      </c>
      <c r="E174" s="124" t="s">
        <v>264</v>
      </c>
      <c r="F174" s="125" t="s">
        <v>265</v>
      </c>
      <c r="G174" s="126" t="s">
        <v>121</v>
      </c>
      <c r="H174" s="127">
        <v>703</v>
      </c>
      <c r="I174" s="128">
        <v>285</v>
      </c>
      <c r="J174" s="128">
        <f t="shared" si="20"/>
        <v>200355</v>
      </c>
      <c r="K174" s="129"/>
      <c r="L174" s="26"/>
      <c r="M174" s="130" t="s">
        <v>0</v>
      </c>
      <c r="N174" s="131" t="s">
        <v>32</v>
      </c>
      <c r="O174" s="132">
        <v>2.5000000000000001E-2</v>
      </c>
      <c r="P174" s="132">
        <f t="shared" si="21"/>
        <v>17.574999999999999</v>
      </c>
      <c r="Q174" s="132">
        <v>6.8099999999999994E-2</v>
      </c>
      <c r="R174" s="132">
        <f t="shared" si="22"/>
        <v>47.874299999999998</v>
      </c>
      <c r="S174" s="132">
        <v>0</v>
      </c>
      <c r="T174" s="133">
        <f t="shared" si="23"/>
        <v>0</v>
      </c>
      <c r="AR174" s="134" t="s">
        <v>122</v>
      </c>
      <c r="AT174" s="134" t="s">
        <v>118</v>
      </c>
      <c r="AU174" s="134" t="s">
        <v>76</v>
      </c>
      <c r="AY174" s="14" t="s">
        <v>116</v>
      </c>
      <c r="BE174" s="135">
        <f t="shared" si="24"/>
        <v>200355</v>
      </c>
      <c r="BF174" s="135">
        <f t="shared" si="25"/>
        <v>0</v>
      </c>
      <c r="BG174" s="135">
        <f t="shared" si="26"/>
        <v>0</v>
      </c>
      <c r="BH174" s="135">
        <f t="shared" si="27"/>
        <v>0</v>
      </c>
      <c r="BI174" s="135">
        <f t="shared" si="28"/>
        <v>0</v>
      </c>
      <c r="BJ174" s="14" t="s">
        <v>74</v>
      </c>
      <c r="BK174" s="135">
        <f t="shared" si="29"/>
        <v>200355</v>
      </c>
      <c r="BL174" s="14" t="s">
        <v>122</v>
      </c>
      <c r="BM174" s="134" t="s">
        <v>266</v>
      </c>
    </row>
    <row r="175" spans="2:65" s="1" customFormat="1" ht="37.9" customHeight="1">
      <c r="B175" s="122"/>
      <c r="C175" s="123" t="s">
        <v>267</v>
      </c>
      <c r="D175" s="123" t="s">
        <v>118</v>
      </c>
      <c r="E175" s="124" t="s">
        <v>268</v>
      </c>
      <c r="F175" s="125" t="s">
        <v>269</v>
      </c>
      <c r="G175" s="126" t="s">
        <v>130</v>
      </c>
      <c r="H175" s="127">
        <f>23.5*4+12+11*3+8.2*2</f>
        <v>155.4</v>
      </c>
      <c r="I175" s="128">
        <v>192</v>
      </c>
      <c r="J175" s="128">
        <f t="shared" si="20"/>
        <v>29836.799999999999</v>
      </c>
      <c r="K175" s="129"/>
      <c r="L175" s="26"/>
      <c r="M175" s="130" t="s">
        <v>0</v>
      </c>
      <c r="N175" s="131" t="s">
        <v>32</v>
      </c>
      <c r="O175" s="132">
        <v>0.11</v>
      </c>
      <c r="P175" s="132">
        <f t="shared" si="21"/>
        <v>17.094000000000001</v>
      </c>
      <c r="Q175" s="132">
        <v>3.1E-4</v>
      </c>
      <c r="R175" s="132">
        <f t="shared" si="22"/>
        <v>4.8174000000000002E-2</v>
      </c>
      <c r="S175" s="132">
        <v>0</v>
      </c>
      <c r="T175" s="133">
        <f t="shared" si="23"/>
        <v>0</v>
      </c>
      <c r="AR175" s="134" t="s">
        <v>122</v>
      </c>
      <c r="AT175" s="134" t="s">
        <v>118</v>
      </c>
      <c r="AU175" s="134" t="s">
        <v>76</v>
      </c>
      <c r="AY175" s="14" t="s">
        <v>116</v>
      </c>
      <c r="BE175" s="135">
        <f t="shared" si="24"/>
        <v>29836.799999999999</v>
      </c>
      <c r="BF175" s="135">
        <f t="shared" si="25"/>
        <v>0</v>
      </c>
      <c r="BG175" s="135">
        <f t="shared" si="26"/>
        <v>0</v>
      </c>
      <c r="BH175" s="135">
        <f t="shared" si="27"/>
        <v>0</v>
      </c>
      <c r="BI175" s="135">
        <f t="shared" si="28"/>
        <v>0</v>
      </c>
      <c r="BJ175" s="14" t="s">
        <v>74</v>
      </c>
      <c r="BK175" s="135">
        <f t="shared" si="29"/>
        <v>29836.799999999999</v>
      </c>
      <c r="BL175" s="14" t="s">
        <v>122</v>
      </c>
      <c r="BM175" s="134" t="s">
        <v>270</v>
      </c>
    </row>
    <row r="176" spans="2:65" s="1" customFormat="1" ht="33" customHeight="1">
      <c r="B176" s="122"/>
      <c r="C176" s="123" t="s">
        <v>271</v>
      </c>
      <c r="D176" s="123" t="s">
        <v>118</v>
      </c>
      <c r="E176" s="124" t="s">
        <v>272</v>
      </c>
      <c r="F176" s="125" t="s">
        <v>273</v>
      </c>
      <c r="G176" s="126" t="s">
        <v>121</v>
      </c>
      <c r="H176" s="127">
        <f>19+1+1</f>
        <v>21</v>
      </c>
      <c r="I176" s="128">
        <v>344</v>
      </c>
      <c r="J176" s="128">
        <f t="shared" si="20"/>
        <v>7224</v>
      </c>
      <c r="K176" s="129"/>
      <c r="L176" s="26"/>
      <c r="M176" s="130" t="s">
        <v>0</v>
      </c>
      <c r="N176" s="131" t="s">
        <v>32</v>
      </c>
      <c r="O176" s="132">
        <v>0.77700000000000002</v>
      </c>
      <c r="P176" s="132">
        <f t="shared" si="21"/>
        <v>16.317</v>
      </c>
      <c r="Q176" s="132">
        <v>0.10100000000000001</v>
      </c>
      <c r="R176" s="132">
        <f t="shared" si="22"/>
        <v>2.121</v>
      </c>
      <c r="S176" s="132">
        <v>0</v>
      </c>
      <c r="T176" s="133">
        <f t="shared" si="23"/>
        <v>0</v>
      </c>
      <c r="AR176" s="134" t="s">
        <v>122</v>
      </c>
      <c r="AT176" s="134" t="s">
        <v>118</v>
      </c>
      <c r="AU176" s="134" t="s">
        <v>76</v>
      </c>
      <c r="AY176" s="14" t="s">
        <v>116</v>
      </c>
      <c r="BE176" s="135">
        <f t="shared" si="24"/>
        <v>7224</v>
      </c>
      <c r="BF176" s="135">
        <f t="shared" si="25"/>
        <v>0</v>
      </c>
      <c r="BG176" s="135">
        <f t="shared" si="26"/>
        <v>0</v>
      </c>
      <c r="BH176" s="135">
        <f t="shared" si="27"/>
        <v>0</v>
      </c>
      <c r="BI176" s="135">
        <f t="shared" si="28"/>
        <v>0</v>
      </c>
      <c r="BJ176" s="14" t="s">
        <v>74</v>
      </c>
      <c r="BK176" s="135">
        <f t="shared" si="29"/>
        <v>7224</v>
      </c>
      <c r="BL176" s="14" t="s">
        <v>122</v>
      </c>
      <c r="BM176" s="134" t="s">
        <v>274</v>
      </c>
    </row>
    <row r="177" spans="2:65" s="1" customFormat="1" ht="21.75" customHeight="1">
      <c r="B177" s="122"/>
      <c r="C177" s="142" t="s">
        <v>275</v>
      </c>
      <c r="D177" s="142" t="s">
        <v>167</v>
      </c>
      <c r="E177" s="143" t="s">
        <v>276</v>
      </c>
      <c r="F177" s="144" t="s">
        <v>277</v>
      </c>
      <c r="G177" s="145" t="s">
        <v>121</v>
      </c>
      <c r="H177" s="146">
        <v>19</v>
      </c>
      <c r="I177" s="147">
        <v>295</v>
      </c>
      <c r="J177" s="147">
        <f t="shared" si="20"/>
        <v>5605</v>
      </c>
      <c r="K177" s="148"/>
      <c r="L177" s="149"/>
      <c r="M177" s="150" t="s">
        <v>0</v>
      </c>
      <c r="N177" s="151" t="s">
        <v>32</v>
      </c>
      <c r="O177" s="132">
        <v>0</v>
      </c>
      <c r="P177" s="132">
        <f t="shared" si="21"/>
        <v>0</v>
      </c>
      <c r="Q177" s="132">
        <v>0.13100000000000001</v>
      </c>
      <c r="R177" s="132">
        <f t="shared" si="22"/>
        <v>2.4889999999999999</v>
      </c>
      <c r="S177" s="132">
        <v>0</v>
      </c>
      <c r="T177" s="133">
        <f t="shared" si="23"/>
        <v>0</v>
      </c>
      <c r="AR177" s="134" t="s">
        <v>149</v>
      </c>
      <c r="AT177" s="134" t="s">
        <v>167</v>
      </c>
      <c r="AU177" s="134" t="s">
        <v>76</v>
      </c>
      <c r="AY177" s="14" t="s">
        <v>116</v>
      </c>
      <c r="BE177" s="135">
        <f t="shared" si="24"/>
        <v>5605</v>
      </c>
      <c r="BF177" s="135">
        <f t="shared" si="25"/>
        <v>0</v>
      </c>
      <c r="BG177" s="135">
        <f t="shared" si="26"/>
        <v>0</v>
      </c>
      <c r="BH177" s="135">
        <f t="shared" si="27"/>
        <v>0</v>
      </c>
      <c r="BI177" s="135">
        <f t="shared" si="28"/>
        <v>0</v>
      </c>
      <c r="BJ177" s="14" t="s">
        <v>74</v>
      </c>
      <c r="BK177" s="135">
        <f t="shared" si="29"/>
        <v>5605</v>
      </c>
      <c r="BL177" s="14" t="s">
        <v>122</v>
      </c>
      <c r="BM177" s="134" t="s">
        <v>278</v>
      </c>
    </row>
    <row r="178" spans="2:65" s="11" customFormat="1" ht="22.9" customHeight="1">
      <c r="B178" s="111"/>
      <c r="D178" s="112" t="s">
        <v>66</v>
      </c>
      <c r="E178" s="120" t="s">
        <v>141</v>
      </c>
      <c r="F178" s="120" t="s">
        <v>279</v>
      </c>
      <c r="J178" s="121">
        <f>BK178</f>
        <v>8865</v>
      </c>
      <c r="L178" s="111"/>
      <c r="M178" s="115"/>
      <c r="P178" s="116">
        <f>SUM(P179:P179)</f>
        <v>9.2160000000000011</v>
      </c>
      <c r="R178" s="116">
        <f>SUM(R179:R179)</f>
        <v>9.7200000000000006</v>
      </c>
      <c r="T178" s="117">
        <f>SUM(T179:T179)</f>
        <v>0</v>
      </c>
      <c r="AR178" s="112" t="s">
        <v>74</v>
      </c>
      <c r="AT178" s="118" t="s">
        <v>66</v>
      </c>
      <c r="AU178" s="118" t="s">
        <v>74</v>
      </c>
      <c r="AY178" s="112" t="s">
        <v>116</v>
      </c>
      <c r="BK178" s="119">
        <f>SUM(BK179:BK179)</f>
        <v>8865</v>
      </c>
    </row>
    <row r="179" spans="2:65" s="1" customFormat="1" ht="16.5" customHeight="1">
      <c r="B179" s="122"/>
      <c r="C179" s="123" t="s">
        <v>280</v>
      </c>
      <c r="D179" s="123" t="s">
        <v>118</v>
      </c>
      <c r="E179" s="124" t="s">
        <v>281</v>
      </c>
      <c r="F179" s="125" t="s">
        <v>392</v>
      </c>
      <c r="G179" s="126" t="s">
        <v>138</v>
      </c>
      <c r="H179" s="127">
        <f>30*0.15</f>
        <v>4.5</v>
      </c>
      <c r="I179" s="128">
        <v>1970</v>
      </c>
      <c r="J179" s="128">
        <f>ROUND(I179*H179,2)</f>
        <v>8865</v>
      </c>
      <c r="K179" s="129"/>
      <c r="L179" s="26"/>
      <c r="M179" s="130" t="s">
        <v>0</v>
      </c>
      <c r="N179" s="131" t="s">
        <v>32</v>
      </c>
      <c r="O179" s="132">
        <v>2.048</v>
      </c>
      <c r="P179" s="132">
        <f>O179*H179</f>
        <v>9.2160000000000011</v>
      </c>
      <c r="Q179" s="132">
        <v>2.16</v>
      </c>
      <c r="R179" s="132">
        <f>Q179*H179</f>
        <v>9.7200000000000006</v>
      </c>
      <c r="S179" s="132">
        <v>0</v>
      </c>
      <c r="T179" s="133">
        <f>S179*H179</f>
        <v>0</v>
      </c>
      <c r="AR179" s="134" t="s">
        <v>122</v>
      </c>
      <c r="AT179" s="134" t="s">
        <v>118</v>
      </c>
      <c r="AU179" s="134" t="s">
        <v>76</v>
      </c>
      <c r="AY179" s="14" t="s">
        <v>116</v>
      </c>
      <c r="BE179" s="135">
        <f>IF(N179="základní",J179,0)</f>
        <v>8865</v>
      </c>
      <c r="BF179" s="135">
        <f>IF(N179="snížená",J179,0)</f>
        <v>0</v>
      </c>
      <c r="BG179" s="135">
        <f>IF(N179="zákl. přenesená",J179,0)</f>
        <v>0</v>
      </c>
      <c r="BH179" s="135">
        <f>IF(N179="sníž. přenesená",J179,0)</f>
        <v>0</v>
      </c>
      <c r="BI179" s="135">
        <f>IF(N179="nulová",J179,0)</f>
        <v>0</v>
      </c>
      <c r="BJ179" s="14" t="s">
        <v>74</v>
      </c>
      <c r="BK179" s="135">
        <f>ROUND(I179*H179,2)</f>
        <v>8865</v>
      </c>
      <c r="BL179" s="14" t="s">
        <v>122</v>
      </c>
      <c r="BM179" s="134" t="s">
        <v>282</v>
      </c>
    </row>
    <row r="180" spans="2:65" s="11" customFormat="1" ht="22.9" customHeight="1">
      <c r="B180" s="111"/>
      <c r="D180" s="112" t="s">
        <v>66</v>
      </c>
      <c r="E180" s="120" t="s">
        <v>153</v>
      </c>
      <c r="F180" s="120" t="s">
        <v>283</v>
      </c>
      <c r="J180" s="121">
        <f>BK180</f>
        <v>78590.399999999994</v>
      </c>
      <c r="L180" s="111"/>
      <c r="M180" s="115"/>
      <c r="P180" s="116">
        <f>SUM(P181:P188)</f>
        <v>125.18286400000002</v>
      </c>
      <c r="R180" s="116">
        <f>SUM(R181:R188)</f>
        <v>15.382027279999999</v>
      </c>
      <c r="T180" s="117">
        <f>SUM(T181:T188)</f>
        <v>0</v>
      </c>
      <c r="AR180" s="112" t="s">
        <v>74</v>
      </c>
      <c r="AT180" s="118" t="s">
        <v>66</v>
      </c>
      <c r="AU180" s="118" t="s">
        <v>74</v>
      </c>
      <c r="AY180" s="112" t="s">
        <v>116</v>
      </c>
      <c r="BK180" s="119">
        <f>SUM(BK181:BK188)</f>
        <v>78590.399999999994</v>
      </c>
    </row>
    <row r="181" spans="2:65" s="1" customFormat="1" ht="24.2" customHeight="1">
      <c r="B181" s="122"/>
      <c r="C181" s="123" t="s">
        <v>284</v>
      </c>
      <c r="D181" s="123" t="s">
        <v>118</v>
      </c>
      <c r="E181" s="124" t="s">
        <v>285</v>
      </c>
      <c r="F181" s="125" t="s">
        <v>393</v>
      </c>
      <c r="G181" s="126" t="s">
        <v>286</v>
      </c>
      <c r="H181" s="127">
        <v>1</v>
      </c>
      <c r="I181" s="128">
        <v>7500</v>
      </c>
      <c r="J181" s="128">
        <f t="shared" ref="J181:J188" si="30">ROUND(I181*H181,2)</f>
        <v>7500</v>
      </c>
      <c r="K181" s="129"/>
      <c r="L181" s="26"/>
      <c r="M181" s="130" t="s">
        <v>0</v>
      </c>
      <c r="N181" s="131" t="s">
        <v>32</v>
      </c>
      <c r="O181" s="132">
        <v>0</v>
      </c>
      <c r="P181" s="132">
        <f t="shared" ref="P181:P188" si="31">O181*H181</f>
        <v>0</v>
      </c>
      <c r="Q181" s="132">
        <v>0</v>
      </c>
      <c r="R181" s="132">
        <f t="shared" ref="R181:R188" si="32">Q181*H181</f>
        <v>0</v>
      </c>
      <c r="S181" s="132">
        <v>0</v>
      </c>
      <c r="T181" s="133">
        <f t="shared" ref="T181:T188" si="33">S181*H181</f>
        <v>0</v>
      </c>
      <c r="AR181" s="134" t="s">
        <v>122</v>
      </c>
      <c r="AT181" s="134" t="s">
        <v>118</v>
      </c>
      <c r="AU181" s="134" t="s">
        <v>76</v>
      </c>
      <c r="AY181" s="14" t="s">
        <v>116</v>
      </c>
      <c r="BE181" s="135">
        <f t="shared" ref="BE181:BE188" si="34">IF(N181="základní",J181,0)</f>
        <v>7500</v>
      </c>
      <c r="BF181" s="135">
        <f t="shared" ref="BF181:BF188" si="35">IF(N181="snížená",J181,0)</f>
        <v>0</v>
      </c>
      <c r="BG181" s="135">
        <f t="shared" ref="BG181:BG188" si="36">IF(N181="zákl. přenesená",J181,0)</f>
        <v>0</v>
      </c>
      <c r="BH181" s="135">
        <f t="shared" ref="BH181:BH188" si="37">IF(N181="sníž. přenesená",J181,0)</f>
        <v>0</v>
      </c>
      <c r="BI181" s="135">
        <f t="shared" ref="BI181:BI188" si="38">IF(N181="nulová",J181,0)</f>
        <v>0</v>
      </c>
      <c r="BJ181" s="14" t="s">
        <v>74</v>
      </c>
      <c r="BK181" s="135">
        <f t="shared" ref="BK181:BK188" si="39">ROUND(I181*H181,2)</f>
        <v>7500</v>
      </c>
      <c r="BL181" s="14" t="s">
        <v>122</v>
      </c>
      <c r="BM181" s="134" t="s">
        <v>287</v>
      </c>
    </row>
    <row r="182" spans="2:65" s="1" customFormat="1" ht="33" customHeight="1">
      <c r="B182" s="122"/>
      <c r="C182" s="123" t="s">
        <v>288</v>
      </c>
      <c r="D182" s="123" t="s">
        <v>118</v>
      </c>
      <c r="E182" s="124" t="s">
        <v>289</v>
      </c>
      <c r="F182" s="125" t="s">
        <v>290</v>
      </c>
      <c r="G182" s="126" t="s">
        <v>130</v>
      </c>
      <c r="H182" s="127">
        <v>1</v>
      </c>
      <c r="I182" s="128">
        <v>237</v>
      </c>
      <c r="J182" s="128">
        <f t="shared" si="30"/>
        <v>237</v>
      </c>
      <c r="K182" s="129"/>
      <c r="L182" s="26"/>
      <c r="M182" s="130" t="s">
        <v>0</v>
      </c>
      <c r="N182" s="131" t="s">
        <v>32</v>
      </c>
      <c r="O182" s="132">
        <v>0.23899999999999999</v>
      </c>
      <c r="P182" s="132">
        <f t="shared" si="31"/>
        <v>0.23899999999999999</v>
      </c>
      <c r="Q182" s="132">
        <v>0.1295</v>
      </c>
      <c r="R182" s="132">
        <f t="shared" si="32"/>
        <v>0.1295</v>
      </c>
      <c r="S182" s="132">
        <v>0</v>
      </c>
      <c r="T182" s="133">
        <f t="shared" si="33"/>
        <v>0</v>
      </c>
      <c r="AR182" s="134" t="s">
        <v>122</v>
      </c>
      <c r="AT182" s="134" t="s">
        <v>118</v>
      </c>
      <c r="AU182" s="134" t="s">
        <v>76</v>
      </c>
      <c r="AY182" s="14" t="s">
        <v>116</v>
      </c>
      <c r="BE182" s="135">
        <f t="shared" si="34"/>
        <v>237</v>
      </c>
      <c r="BF182" s="135">
        <f t="shared" si="35"/>
        <v>0</v>
      </c>
      <c r="BG182" s="135">
        <f t="shared" si="36"/>
        <v>0</v>
      </c>
      <c r="BH182" s="135">
        <f t="shared" si="37"/>
        <v>0</v>
      </c>
      <c r="BI182" s="135">
        <f t="shared" si="38"/>
        <v>0</v>
      </c>
      <c r="BJ182" s="14" t="s">
        <v>74</v>
      </c>
      <c r="BK182" s="135">
        <f t="shared" si="39"/>
        <v>237</v>
      </c>
      <c r="BL182" s="14" t="s">
        <v>122</v>
      </c>
      <c r="BM182" s="134" t="s">
        <v>291</v>
      </c>
    </row>
    <row r="183" spans="2:65" s="1" customFormat="1" ht="16.5" customHeight="1">
      <c r="B183" s="122"/>
      <c r="C183" s="142" t="s">
        <v>292</v>
      </c>
      <c r="D183" s="142" t="s">
        <v>167</v>
      </c>
      <c r="E183" s="143" t="s">
        <v>293</v>
      </c>
      <c r="F183" s="144" t="s">
        <v>294</v>
      </c>
      <c r="G183" s="145" t="s">
        <v>130</v>
      </c>
      <c r="H183" s="146">
        <v>1.5</v>
      </c>
      <c r="I183" s="147">
        <v>152</v>
      </c>
      <c r="J183" s="147">
        <f t="shared" si="30"/>
        <v>228</v>
      </c>
      <c r="K183" s="148"/>
      <c r="L183" s="149"/>
      <c r="M183" s="150" t="s">
        <v>0</v>
      </c>
      <c r="N183" s="151" t="s">
        <v>32</v>
      </c>
      <c r="O183" s="132">
        <v>0</v>
      </c>
      <c r="P183" s="132">
        <f t="shared" si="31"/>
        <v>0</v>
      </c>
      <c r="Q183" s="132">
        <v>5.6120000000000003E-2</v>
      </c>
      <c r="R183" s="132">
        <f t="shared" si="32"/>
        <v>8.4180000000000005E-2</v>
      </c>
      <c r="S183" s="132">
        <v>0</v>
      </c>
      <c r="T183" s="133">
        <f t="shared" si="33"/>
        <v>0</v>
      </c>
      <c r="AR183" s="134" t="s">
        <v>149</v>
      </c>
      <c r="AT183" s="134" t="s">
        <v>167</v>
      </c>
      <c r="AU183" s="134" t="s">
        <v>76</v>
      </c>
      <c r="AY183" s="14" t="s">
        <v>116</v>
      </c>
      <c r="BE183" s="135">
        <f t="shared" si="34"/>
        <v>228</v>
      </c>
      <c r="BF183" s="135">
        <f t="shared" si="35"/>
        <v>0</v>
      </c>
      <c r="BG183" s="135">
        <f t="shared" si="36"/>
        <v>0</v>
      </c>
      <c r="BH183" s="135">
        <f t="shared" si="37"/>
        <v>0</v>
      </c>
      <c r="BI183" s="135">
        <f t="shared" si="38"/>
        <v>0</v>
      </c>
      <c r="BJ183" s="14" t="s">
        <v>74</v>
      </c>
      <c r="BK183" s="135">
        <f t="shared" si="39"/>
        <v>228</v>
      </c>
      <c r="BL183" s="14" t="s">
        <v>122</v>
      </c>
      <c r="BM183" s="134" t="s">
        <v>295</v>
      </c>
    </row>
    <row r="184" spans="2:65" s="1" customFormat="1" ht="24.2" customHeight="1">
      <c r="B184" s="122"/>
      <c r="C184" s="123" t="s">
        <v>296</v>
      </c>
      <c r="D184" s="123" t="s">
        <v>118</v>
      </c>
      <c r="E184" s="124" t="s">
        <v>297</v>
      </c>
      <c r="F184" s="125" t="s">
        <v>298</v>
      </c>
      <c r="G184" s="126" t="s">
        <v>130</v>
      </c>
      <c r="H184" s="127">
        <v>9.1999999999999993</v>
      </c>
      <c r="I184" s="128">
        <v>168</v>
      </c>
      <c r="J184" s="128">
        <f t="shared" si="30"/>
        <v>1545.6</v>
      </c>
      <c r="K184" s="129"/>
      <c r="L184" s="26"/>
      <c r="M184" s="130" t="s">
        <v>0</v>
      </c>
      <c r="N184" s="131" t="s">
        <v>32</v>
      </c>
      <c r="O184" s="132">
        <v>0.14000000000000001</v>
      </c>
      <c r="P184" s="132">
        <f t="shared" si="31"/>
        <v>1.288</v>
      </c>
      <c r="Q184" s="132">
        <v>0.10095</v>
      </c>
      <c r="R184" s="132">
        <f t="shared" si="32"/>
        <v>0.9287399999999999</v>
      </c>
      <c r="S184" s="132">
        <v>0</v>
      </c>
      <c r="T184" s="133">
        <f t="shared" si="33"/>
        <v>0</v>
      </c>
      <c r="AR184" s="134" t="s">
        <v>122</v>
      </c>
      <c r="AT184" s="134" t="s">
        <v>118</v>
      </c>
      <c r="AU184" s="134" t="s">
        <v>76</v>
      </c>
      <c r="AY184" s="14" t="s">
        <v>116</v>
      </c>
      <c r="BE184" s="135">
        <f t="shared" si="34"/>
        <v>1545.6</v>
      </c>
      <c r="BF184" s="135">
        <f t="shared" si="35"/>
        <v>0</v>
      </c>
      <c r="BG184" s="135">
        <f t="shared" si="36"/>
        <v>0</v>
      </c>
      <c r="BH184" s="135">
        <f t="shared" si="37"/>
        <v>0</v>
      </c>
      <c r="BI184" s="135">
        <f t="shared" si="38"/>
        <v>0</v>
      </c>
      <c r="BJ184" s="14" t="s">
        <v>74</v>
      </c>
      <c r="BK184" s="135">
        <f t="shared" si="39"/>
        <v>1545.6</v>
      </c>
      <c r="BL184" s="14" t="s">
        <v>122</v>
      </c>
      <c r="BM184" s="134" t="s">
        <v>299</v>
      </c>
    </row>
    <row r="185" spans="2:65" s="1" customFormat="1" ht="16.5" customHeight="1">
      <c r="B185" s="122"/>
      <c r="C185" s="142" t="s">
        <v>300</v>
      </c>
      <c r="D185" s="142" t="s">
        <v>167</v>
      </c>
      <c r="E185" s="143" t="s">
        <v>301</v>
      </c>
      <c r="F185" s="144" t="s">
        <v>302</v>
      </c>
      <c r="G185" s="145" t="s">
        <v>130</v>
      </c>
      <c r="H185" s="146">
        <f>10</f>
        <v>10</v>
      </c>
      <c r="I185" s="147">
        <v>82.5</v>
      </c>
      <c r="J185" s="147">
        <f t="shared" si="30"/>
        <v>825</v>
      </c>
      <c r="K185" s="148"/>
      <c r="L185" s="149"/>
      <c r="M185" s="150" t="s">
        <v>0</v>
      </c>
      <c r="N185" s="151" t="s">
        <v>32</v>
      </c>
      <c r="O185" s="132">
        <v>0</v>
      </c>
      <c r="P185" s="132">
        <f t="shared" si="31"/>
        <v>0</v>
      </c>
      <c r="Q185" s="132">
        <v>2.4E-2</v>
      </c>
      <c r="R185" s="132">
        <f t="shared" si="32"/>
        <v>0.24</v>
      </c>
      <c r="S185" s="132">
        <v>0</v>
      </c>
      <c r="T185" s="133">
        <f t="shared" si="33"/>
        <v>0</v>
      </c>
      <c r="AR185" s="134" t="s">
        <v>149</v>
      </c>
      <c r="AT185" s="134" t="s">
        <v>167</v>
      </c>
      <c r="AU185" s="134" t="s">
        <v>76</v>
      </c>
      <c r="AY185" s="14" t="s">
        <v>116</v>
      </c>
      <c r="BE185" s="135">
        <f t="shared" si="34"/>
        <v>825</v>
      </c>
      <c r="BF185" s="135">
        <f t="shared" si="35"/>
        <v>0</v>
      </c>
      <c r="BG185" s="135">
        <f t="shared" si="36"/>
        <v>0</v>
      </c>
      <c r="BH185" s="135">
        <f t="shared" si="37"/>
        <v>0</v>
      </c>
      <c r="BI185" s="135">
        <f t="shared" si="38"/>
        <v>0</v>
      </c>
      <c r="BJ185" s="14" t="s">
        <v>74</v>
      </c>
      <c r="BK185" s="135">
        <f t="shared" si="39"/>
        <v>825</v>
      </c>
      <c r="BL185" s="14" t="s">
        <v>122</v>
      </c>
      <c r="BM185" s="134" t="s">
        <v>303</v>
      </c>
    </row>
    <row r="186" spans="2:65" s="1" customFormat="1" ht="24.2" customHeight="1">
      <c r="B186" s="122"/>
      <c r="C186" s="123" t="s">
        <v>304</v>
      </c>
      <c r="D186" s="123" t="s">
        <v>118</v>
      </c>
      <c r="E186" s="124" t="s">
        <v>305</v>
      </c>
      <c r="F186" s="125" t="s">
        <v>306</v>
      </c>
      <c r="G186" s="126" t="s">
        <v>138</v>
      </c>
      <c r="H186" s="127">
        <f>(9.2*0.3*0.3)+(29.8*0.3*0.6)</f>
        <v>6.1920000000000002</v>
      </c>
      <c r="I186" s="128">
        <v>3250</v>
      </c>
      <c r="J186" s="128">
        <f t="shared" si="30"/>
        <v>20124</v>
      </c>
      <c r="K186" s="129"/>
      <c r="L186" s="26"/>
      <c r="M186" s="130" t="s">
        <v>0</v>
      </c>
      <c r="N186" s="131" t="s">
        <v>32</v>
      </c>
      <c r="O186" s="132">
        <v>1.4419999999999999</v>
      </c>
      <c r="P186" s="132">
        <f t="shared" si="31"/>
        <v>8.9288640000000008</v>
      </c>
      <c r="Q186" s="132">
        <v>2.2563399999999998</v>
      </c>
      <c r="R186" s="132">
        <f t="shared" si="32"/>
        <v>13.97125728</v>
      </c>
      <c r="S186" s="132">
        <v>0</v>
      </c>
      <c r="T186" s="133">
        <f t="shared" si="33"/>
        <v>0</v>
      </c>
      <c r="AR186" s="134" t="s">
        <v>122</v>
      </c>
      <c r="AT186" s="134" t="s">
        <v>118</v>
      </c>
      <c r="AU186" s="134" t="s">
        <v>76</v>
      </c>
      <c r="AY186" s="14" t="s">
        <v>116</v>
      </c>
      <c r="BE186" s="135">
        <f t="shared" si="34"/>
        <v>20124</v>
      </c>
      <c r="BF186" s="135">
        <f t="shared" si="35"/>
        <v>0</v>
      </c>
      <c r="BG186" s="135">
        <f t="shared" si="36"/>
        <v>0</v>
      </c>
      <c r="BH186" s="135">
        <f t="shared" si="37"/>
        <v>0</v>
      </c>
      <c r="BI186" s="135">
        <f t="shared" si="38"/>
        <v>0</v>
      </c>
      <c r="BJ186" s="14" t="s">
        <v>74</v>
      </c>
      <c r="BK186" s="135">
        <f t="shared" si="39"/>
        <v>20124</v>
      </c>
      <c r="BL186" s="14" t="s">
        <v>122</v>
      </c>
      <c r="BM186" s="134" t="s">
        <v>307</v>
      </c>
    </row>
    <row r="187" spans="2:65" s="1" customFormat="1" ht="37.9" customHeight="1">
      <c r="B187" s="122"/>
      <c r="C187" s="123" t="s">
        <v>308</v>
      </c>
      <c r="D187" s="123" t="s">
        <v>118</v>
      </c>
      <c r="E187" s="124" t="s">
        <v>309</v>
      </c>
      <c r="F187" s="125" t="s">
        <v>310</v>
      </c>
      <c r="G187" s="126" t="s">
        <v>121</v>
      </c>
      <c r="H187" s="127">
        <v>135</v>
      </c>
      <c r="I187" s="128">
        <v>72.2</v>
      </c>
      <c r="J187" s="128">
        <f t="shared" si="30"/>
        <v>9747</v>
      </c>
      <c r="K187" s="129"/>
      <c r="L187" s="26"/>
      <c r="M187" s="130" t="s">
        <v>0</v>
      </c>
      <c r="N187" s="131" t="s">
        <v>32</v>
      </c>
      <c r="O187" s="132">
        <v>0.126</v>
      </c>
      <c r="P187" s="132">
        <f t="shared" si="31"/>
        <v>17.010000000000002</v>
      </c>
      <c r="Q187" s="132">
        <v>2.1000000000000001E-4</v>
      </c>
      <c r="R187" s="132">
        <f t="shared" si="32"/>
        <v>2.835E-2</v>
      </c>
      <c r="S187" s="132">
        <v>0</v>
      </c>
      <c r="T187" s="133">
        <f t="shared" si="33"/>
        <v>0</v>
      </c>
      <c r="AR187" s="134" t="s">
        <v>122</v>
      </c>
      <c r="AT187" s="134" t="s">
        <v>118</v>
      </c>
      <c r="AU187" s="134" t="s">
        <v>76</v>
      </c>
      <c r="AY187" s="14" t="s">
        <v>116</v>
      </c>
      <c r="BE187" s="135">
        <f t="shared" si="34"/>
        <v>9747</v>
      </c>
      <c r="BF187" s="135">
        <f t="shared" si="35"/>
        <v>0</v>
      </c>
      <c r="BG187" s="135">
        <f t="shared" si="36"/>
        <v>0</v>
      </c>
      <c r="BH187" s="135">
        <f t="shared" si="37"/>
        <v>0</v>
      </c>
      <c r="BI187" s="135">
        <f t="shared" si="38"/>
        <v>0</v>
      </c>
      <c r="BJ187" s="14" t="s">
        <v>74</v>
      </c>
      <c r="BK187" s="135">
        <f t="shared" si="39"/>
        <v>9747</v>
      </c>
      <c r="BL187" s="14" t="s">
        <v>122</v>
      </c>
      <c r="BM187" s="134" t="s">
        <v>311</v>
      </c>
    </row>
    <row r="188" spans="2:65" s="1" customFormat="1" ht="24.2" customHeight="1">
      <c r="B188" s="122"/>
      <c r="C188" s="123" t="s">
        <v>312</v>
      </c>
      <c r="D188" s="123" t="s">
        <v>118</v>
      </c>
      <c r="E188" s="124" t="s">
        <v>313</v>
      </c>
      <c r="F188" s="125" t="s">
        <v>314</v>
      </c>
      <c r="G188" s="126" t="s">
        <v>121</v>
      </c>
      <c r="H188" s="127">
        <v>703</v>
      </c>
      <c r="I188" s="128">
        <v>54.6</v>
      </c>
      <c r="J188" s="128">
        <f t="shared" si="30"/>
        <v>38383.800000000003</v>
      </c>
      <c r="K188" s="129"/>
      <c r="L188" s="26"/>
      <c r="M188" s="130" t="s">
        <v>0</v>
      </c>
      <c r="N188" s="131" t="s">
        <v>32</v>
      </c>
      <c r="O188" s="132">
        <v>0.13900000000000001</v>
      </c>
      <c r="P188" s="132">
        <f t="shared" si="31"/>
        <v>97.717000000000013</v>
      </c>
      <c r="Q188" s="132">
        <v>0</v>
      </c>
      <c r="R188" s="132">
        <f t="shared" si="32"/>
        <v>0</v>
      </c>
      <c r="S188" s="132">
        <v>0</v>
      </c>
      <c r="T188" s="133">
        <f t="shared" si="33"/>
        <v>0</v>
      </c>
      <c r="AR188" s="134" t="s">
        <v>122</v>
      </c>
      <c r="AT188" s="134" t="s">
        <v>118</v>
      </c>
      <c r="AU188" s="134" t="s">
        <v>76</v>
      </c>
      <c r="AY188" s="14" t="s">
        <v>116</v>
      </c>
      <c r="BE188" s="135">
        <f t="shared" si="34"/>
        <v>38383.800000000003</v>
      </c>
      <c r="BF188" s="135">
        <f t="shared" si="35"/>
        <v>0</v>
      </c>
      <c r="BG188" s="135">
        <f t="shared" si="36"/>
        <v>0</v>
      </c>
      <c r="BH188" s="135">
        <f t="shared" si="37"/>
        <v>0</v>
      </c>
      <c r="BI188" s="135">
        <f t="shared" si="38"/>
        <v>0</v>
      </c>
      <c r="BJ188" s="14" t="s">
        <v>74</v>
      </c>
      <c r="BK188" s="135">
        <f t="shared" si="39"/>
        <v>38383.800000000003</v>
      </c>
      <c r="BL188" s="14" t="s">
        <v>122</v>
      </c>
      <c r="BM188" s="134" t="s">
        <v>315</v>
      </c>
    </row>
    <row r="189" spans="2:65" s="11" customFormat="1" ht="22.9" customHeight="1">
      <c r="B189" s="111"/>
      <c r="D189" s="112" t="s">
        <v>66</v>
      </c>
      <c r="E189" s="120" t="s">
        <v>316</v>
      </c>
      <c r="F189" s="120" t="s">
        <v>317</v>
      </c>
      <c r="J189" s="121">
        <f>BK189</f>
        <v>696</v>
      </c>
      <c r="L189" s="111"/>
      <c r="M189" s="115"/>
      <c r="P189" s="116">
        <f>SUM(P190:P190)</f>
        <v>1.88</v>
      </c>
      <c r="R189" s="116">
        <f>SUM(R190:R190)</f>
        <v>0</v>
      </c>
      <c r="T189" s="117">
        <f>SUM(T190:T190)</f>
        <v>0</v>
      </c>
      <c r="AR189" s="112" t="s">
        <v>74</v>
      </c>
      <c r="AT189" s="118" t="s">
        <v>66</v>
      </c>
      <c r="AU189" s="118" t="s">
        <v>74</v>
      </c>
      <c r="AY189" s="112" t="s">
        <v>116</v>
      </c>
      <c r="BK189" s="119">
        <f>SUM(BK190:BK190)</f>
        <v>696</v>
      </c>
    </row>
    <row r="190" spans="2:65" s="1" customFormat="1" ht="33" customHeight="1">
      <c r="B190" s="122"/>
      <c r="C190" s="123">
        <v>48</v>
      </c>
      <c r="D190" s="123" t="s">
        <v>118</v>
      </c>
      <c r="E190" s="124" t="s">
        <v>318</v>
      </c>
      <c r="F190" s="125" t="s">
        <v>319</v>
      </c>
      <c r="G190" s="126" t="s">
        <v>156</v>
      </c>
      <c r="H190" s="127">
        <v>1</v>
      </c>
      <c r="I190" s="128">
        <v>696</v>
      </c>
      <c r="J190" s="128">
        <f>ROUND(I190*H190,2)</f>
        <v>696</v>
      </c>
      <c r="K190" s="129"/>
      <c r="L190" s="26"/>
      <c r="M190" s="130" t="s">
        <v>0</v>
      </c>
      <c r="N190" s="131" t="s">
        <v>32</v>
      </c>
      <c r="O190" s="132">
        <v>1.88</v>
      </c>
      <c r="P190" s="132">
        <f>O190*H190</f>
        <v>1.88</v>
      </c>
      <c r="Q190" s="132">
        <v>0</v>
      </c>
      <c r="R190" s="132">
        <f>Q190*H190</f>
        <v>0</v>
      </c>
      <c r="S190" s="132">
        <v>0</v>
      </c>
      <c r="T190" s="133">
        <f>S190*H190</f>
        <v>0</v>
      </c>
      <c r="AR190" s="134" t="s">
        <v>122</v>
      </c>
      <c r="AT190" s="134" t="s">
        <v>118</v>
      </c>
      <c r="AU190" s="134" t="s">
        <v>76</v>
      </c>
      <c r="AY190" s="14" t="s">
        <v>116</v>
      </c>
      <c r="BE190" s="135">
        <f>IF(N190="základní",J190,0)</f>
        <v>696</v>
      </c>
      <c r="BF190" s="135">
        <f>IF(N190="snížená",J190,0)</f>
        <v>0</v>
      </c>
      <c r="BG190" s="135">
        <f>IF(N190="zákl. přenesená",J190,0)</f>
        <v>0</v>
      </c>
      <c r="BH190" s="135">
        <f>IF(N190="sníž. přenesená",J190,0)</f>
        <v>0</v>
      </c>
      <c r="BI190" s="135">
        <f>IF(N190="nulová",J190,0)</f>
        <v>0</v>
      </c>
      <c r="BJ190" s="14" t="s">
        <v>74</v>
      </c>
      <c r="BK190" s="135">
        <f>ROUND(I190*H190,2)</f>
        <v>696</v>
      </c>
      <c r="BL190" s="14" t="s">
        <v>122</v>
      </c>
      <c r="BM190" s="134" t="s">
        <v>320</v>
      </c>
    </row>
    <row r="191" spans="2:65" s="11" customFormat="1" ht="22.9" customHeight="1">
      <c r="B191" s="111"/>
      <c r="D191" s="112" t="s">
        <v>66</v>
      </c>
      <c r="E191" s="120" t="s">
        <v>321</v>
      </c>
      <c r="F191" s="120" t="s">
        <v>322</v>
      </c>
      <c r="J191" s="121">
        <f>BK191</f>
        <v>100</v>
      </c>
      <c r="L191" s="111"/>
      <c r="M191" s="115"/>
      <c r="P191" s="116">
        <f>P192</f>
        <v>0.13200000000000001</v>
      </c>
      <c r="R191" s="116">
        <f>R192</f>
        <v>0</v>
      </c>
      <c r="T191" s="117">
        <f>T192</f>
        <v>0</v>
      </c>
      <c r="AR191" s="112" t="s">
        <v>74</v>
      </c>
      <c r="AT191" s="118" t="s">
        <v>66</v>
      </c>
      <c r="AU191" s="118" t="s">
        <v>74</v>
      </c>
      <c r="AY191" s="112" t="s">
        <v>116</v>
      </c>
      <c r="BK191" s="119">
        <f>BK192</f>
        <v>100</v>
      </c>
    </row>
    <row r="192" spans="2:65" s="1" customFormat="1" ht="16.5" customHeight="1">
      <c r="B192" s="122"/>
      <c r="C192" s="123">
        <v>49</v>
      </c>
      <c r="D192" s="123" t="s">
        <v>118</v>
      </c>
      <c r="E192" s="124" t="s">
        <v>323</v>
      </c>
      <c r="F192" s="125" t="s">
        <v>324</v>
      </c>
      <c r="G192" s="126" t="s">
        <v>156</v>
      </c>
      <c r="H192" s="127">
        <v>1</v>
      </c>
      <c r="I192" s="128">
        <v>100</v>
      </c>
      <c r="J192" s="128">
        <f>ROUND(I192*H192,2)</f>
        <v>100</v>
      </c>
      <c r="K192" s="129"/>
      <c r="L192" s="26"/>
      <c r="M192" s="130" t="s">
        <v>0</v>
      </c>
      <c r="N192" s="131" t="s">
        <v>32</v>
      </c>
      <c r="O192" s="132">
        <v>0.13200000000000001</v>
      </c>
      <c r="P192" s="132">
        <f>O192*H192</f>
        <v>0.13200000000000001</v>
      </c>
      <c r="Q192" s="132">
        <v>0</v>
      </c>
      <c r="R192" s="132">
        <f>Q192*H192</f>
        <v>0</v>
      </c>
      <c r="S192" s="132">
        <v>0</v>
      </c>
      <c r="T192" s="133">
        <f>S192*H192</f>
        <v>0</v>
      </c>
      <c r="AR192" s="134" t="s">
        <v>122</v>
      </c>
      <c r="AT192" s="134" t="s">
        <v>118</v>
      </c>
      <c r="AU192" s="134" t="s">
        <v>76</v>
      </c>
      <c r="AY192" s="14" t="s">
        <v>116</v>
      </c>
      <c r="BE192" s="135">
        <f>IF(N192="základní",J192,0)</f>
        <v>100</v>
      </c>
      <c r="BF192" s="135">
        <f>IF(N192="snížená",J192,0)</f>
        <v>0</v>
      </c>
      <c r="BG192" s="135">
        <f>IF(N192="zákl. přenesená",J192,0)</f>
        <v>0</v>
      </c>
      <c r="BH192" s="135">
        <f>IF(N192="sníž. přenesená",J192,0)</f>
        <v>0</v>
      </c>
      <c r="BI192" s="135">
        <f>IF(N192="nulová",J192,0)</f>
        <v>0</v>
      </c>
      <c r="BJ192" s="14" t="s">
        <v>74</v>
      </c>
      <c r="BK192" s="135">
        <f>ROUND(I192*H192,2)</f>
        <v>100</v>
      </c>
      <c r="BL192" s="14" t="s">
        <v>122</v>
      </c>
      <c r="BM192" s="134" t="s">
        <v>325</v>
      </c>
    </row>
    <row r="193" spans="2:65" s="11" customFormat="1" ht="25.9" customHeight="1">
      <c r="B193" s="111"/>
      <c r="D193" s="112" t="s">
        <v>66</v>
      </c>
      <c r="E193" s="113" t="s">
        <v>326</v>
      </c>
      <c r="F193" s="113" t="s">
        <v>326</v>
      </c>
      <c r="J193" s="114">
        <f>BK193</f>
        <v>463137.56999999995</v>
      </c>
      <c r="L193" s="111"/>
      <c r="M193" s="115"/>
      <c r="P193" s="116">
        <f>P194+P201</f>
        <v>0</v>
      </c>
      <c r="R193" s="116">
        <f>R194+R201</f>
        <v>0</v>
      </c>
      <c r="T193" s="117">
        <f>T194+T201</f>
        <v>0</v>
      </c>
      <c r="AR193" s="112" t="s">
        <v>76</v>
      </c>
      <c r="AT193" s="118" t="s">
        <v>66</v>
      </c>
      <c r="AU193" s="118" t="s">
        <v>67</v>
      </c>
      <c r="AY193" s="112" t="s">
        <v>116</v>
      </c>
      <c r="BK193" s="119">
        <f>BK194+BK201</f>
        <v>463137.56999999995</v>
      </c>
    </row>
    <row r="194" spans="2:65" s="11" customFormat="1" ht="22.9" customHeight="1">
      <c r="B194" s="111"/>
      <c r="D194" s="112" t="s">
        <v>66</v>
      </c>
      <c r="E194" s="120" t="s">
        <v>327</v>
      </c>
      <c r="F194" s="120" t="s">
        <v>328</v>
      </c>
      <c r="J194" s="121">
        <f>BK194</f>
        <v>391530.06999999995</v>
      </c>
      <c r="L194" s="111"/>
      <c r="M194" s="115"/>
      <c r="P194" s="116">
        <f>SUM(P195:P200)</f>
        <v>0</v>
      </c>
      <c r="R194" s="116">
        <f>SUM(R195:R200)</f>
        <v>0</v>
      </c>
      <c r="T194" s="117">
        <f>SUM(T195:T200)</f>
        <v>0</v>
      </c>
      <c r="AR194" s="112" t="s">
        <v>76</v>
      </c>
      <c r="AT194" s="118" t="s">
        <v>66</v>
      </c>
      <c r="AU194" s="118" t="s">
        <v>74</v>
      </c>
      <c r="AY194" s="112" t="s">
        <v>116</v>
      </c>
      <c r="BK194" s="119">
        <f>SUM(BK195:BK200)</f>
        <v>391530.06999999995</v>
      </c>
    </row>
    <row r="195" spans="2:65" s="1" customFormat="1" ht="24.2" customHeight="1">
      <c r="B195" s="122"/>
      <c r="C195" s="123">
        <v>50</v>
      </c>
      <c r="D195" s="123" t="s">
        <v>118</v>
      </c>
      <c r="E195" s="124" t="s">
        <v>329</v>
      </c>
      <c r="F195" s="125" t="s">
        <v>330</v>
      </c>
      <c r="G195" s="126" t="s">
        <v>286</v>
      </c>
      <c r="H195" s="127">
        <v>2</v>
      </c>
      <c r="I195" s="128">
        <v>18000</v>
      </c>
      <c r="J195" s="128">
        <f t="shared" ref="J195:J200" si="40">ROUND(I195*H195,2)</f>
        <v>36000</v>
      </c>
      <c r="K195" s="129"/>
      <c r="L195" s="26"/>
      <c r="M195" s="130" t="s">
        <v>0</v>
      </c>
      <c r="N195" s="131" t="s">
        <v>32</v>
      </c>
      <c r="O195" s="132">
        <v>0</v>
      </c>
      <c r="P195" s="132">
        <f t="shared" ref="P195:P200" si="41">O195*H195</f>
        <v>0</v>
      </c>
      <c r="Q195" s="132">
        <v>0</v>
      </c>
      <c r="R195" s="132">
        <f t="shared" ref="R195:R200" si="42">Q195*H195</f>
        <v>0</v>
      </c>
      <c r="S195" s="132">
        <v>0</v>
      </c>
      <c r="T195" s="133">
        <f t="shared" ref="T195:T200" si="43">S195*H195</f>
        <v>0</v>
      </c>
      <c r="AR195" s="134" t="s">
        <v>183</v>
      </c>
      <c r="AT195" s="134" t="s">
        <v>118</v>
      </c>
      <c r="AU195" s="134" t="s">
        <v>76</v>
      </c>
      <c r="AY195" s="14" t="s">
        <v>116</v>
      </c>
      <c r="BE195" s="135">
        <f t="shared" ref="BE195:BE200" si="44">IF(N195="základní",J195,0)</f>
        <v>36000</v>
      </c>
      <c r="BF195" s="135">
        <f t="shared" ref="BF195:BF200" si="45">IF(N195="snížená",J195,0)</f>
        <v>0</v>
      </c>
      <c r="BG195" s="135">
        <f t="shared" ref="BG195:BG200" si="46">IF(N195="zákl. přenesená",J195,0)</f>
        <v>0</v>
      </c>
      <c r="BH195" s="135">
        <f t="shared" ref="BH195:BH200" si="47">IF(N195="sníž. přenesená",J195,0)</f>
        <v>0</v>
      </c>
      <c r="BI195" s="135">
        <f t="shared" ref="BI195:BI200" si="48">IF(N195="nulová",J195,0)</f>
        <v>0</v>
      </c>
      <c r="BJ195" s="14" t="s">
        <v>74</v>
      </c>
      <c r="BK195" s="135">
        <f t="shared" ref="BK195:BK200" si="49">ROUND(I195*H195,2)</f>
        <v>36000</v>
      </c>
      <c r="BL195" s="14" t="s">
        <v>183</v>
      </c>
      <c r="BM195" s="134" t="s">
        <v>331</v>
      </c>
    </row>
    <row r="196" spans="2:65" s="1" customFormat="1" ht="24.2" customHeight="1">
      <c r="B196" s="122"/>
      <c r="C196" s="123">
        <v>51</v>
      </c>
      <c r="D196" s="123" t="s">
        <v>118</v>
      </c>
      <c r="E196" s="124" t="s">
        <v>332</v>
      </c>
      <c r="F196" s="125" t="s">
        <v>333</v>
      </c>
      <c r="G196" s="126" t="s">
        <v>286</v>
      </c>
      <c r="H196" s="127">
        <v>1</v>
      </c>
      <c r="I196" s="128">
        <v>38000</v>
      </c>
      <c r="J196" s="128">
        <f t="shared" si="40"/>
        <v>38000</v>
      </c>
      <c r="K196" s="129"/>
      <c r="L196" s="26"/>
      <c r="M196" s="130" t="s">
        <v>0</v>
      </c>
      <c r="N196" s="131" t="s">
        <v>32</v>
      </c>
      <c r="O196" s="132">
        <v>0</v>
      </c>
      <c r="P196" s="132">
        <f t="shared" si="41"/>
        <v>0</v>
      </c>
      <c r="Q196" s="132">
        <v>0</v>
      </c>
      <c r="R196" s="132">
        <f t="shared" si="42"/>
        <v>0</v>
      </c>
      <c r="S196" s="132">
        <v>0</v>
      </c>
      <c r="T196" s="133">
        <f t="shared" si="43"/>
        <v>0</v>
      </c>
      <c r="AR196" s="134" t="s">
        <v>183</v>
      </c>
      <c r="AT196" s="134" t="s">
        <v>118</v>
      </c>
      <c r="AU196" s="134" t="s">
        <v>76</v>
      </c>
      <c r="AY196" s="14" t="s">
        <v>116</v>
      </c>
      <c r="BE196" s="135">
        <f t="shared" si="44"/>
        <v>38000</v>
      </c>
      <c r="BF196" s="135">
        <f t="shared" si="45"/>
        <v>0</v>
      </c>
      <c r="BG196" s="135">
        <f t="shared" si="46"/>
        <v>0</v>
      </c>
      <c r="BH196" s="135">
        <f t="shared" si="47"/>
        <v>0</v>
      </c>
      <c r="BI196" s="135">
        <f t="shared" si="48"/>
        <v>0</v>
      </c>
      <c r="BJ196" s="14" t="s">
        <v>74</v>
      </c>
      <c r="BK196" s="135">
        <f t="shared" si="49"/>
        <v>38000</v>
      </c>
      <c r="BL196" s="14" t="s">
        <v>183</v>
      </c>
      <c r="BM196" s="134" t="s">
        <v>334</v>
      </c>
    </row>
    <row r="197" spans="2:65" s="1" customFormat="1" ht="24.2" customHeight="1">
      <c r="B197" s="122"/>
      <c r="C197" s="123">
        <v>52</v>
      </c>
      <c r="D197" s="123" t="s">
        <v>118</v>
      </c>
      <c r="E197" s="124" t="s">
        <v>335</v>
      </c>
      <c r="F197" s="125" t="s">
        <v>336</v>
      </c>
      <c r="G197" s="126" t="s">
        <v>286</v>
      </c>
      <c r="H197" s="127">
        <v>37</v>
      </c>
      <c r="I197" s="128">
        <v>5920</v>
      </c>
      <c r="J197" s="128">
        <f t="shared" si="40"/>
        <v>219040</v>
      </c>
      <c r="K197" s="129"/>
      <c r="L197" s="26"/>
      <c r="M197" s="130" t="s">
        <v>0</v>
      </c>
      <c r="N197" s="131" t="s">
        <v>32</v>
      </c>
      <c r="O197" s="132">
        <v>0</v>
      </c>
      <c r="P197" s="132">
        <f t="shared" si="41"/>
        <v>0</v>
      </c>
      <c r="Q197" s="132">
        <v>0</v>
      </c>
      <c r="R197" s="132">
        <f t="shared" si="42"/>
        <v>0</v>
      </c>
      <c r="S197" s="132">
        <v>0</v>
      </c>
      <c r="T197" s="133">
        <f t="shared" si="43"/>
        <v>0</v>
      </c>
      <c r="AR197" s="134" t="s">
        <v>183</v>
      </c>
      <c r="AT197" s="134" t="s">
        <v>118</v>
      </c>
      <c r="AU197" s="134" t="s">
        <v>76</v>
      </c>
      <c r="AY197" s="14" t="s">
        <v>116</v>
      </c>
      <c r="BE197" s="135">
        <f t="shared" si="44"/>
        <v>219040</v>
      </c>
      <c r="BF197" s="135">
        <f t="shared" si="45"/>
        <v>0</v>
      </c>
      <c r="BG197" s="135">
        <f t="shared" si="46"/>
        <v>0</v>
      </c>
      <c r="BH197" s="135">
        <f t="shared" si="47"/>
        <v>0</v>
      </c>
      <c r="BI197" s="135">
        <f t="shared" si="48"/>
        <v>0</v>
      </c>
      <c r="BJ197" s="14" t="s">
        <v>74</v>
      </c>
      <c r="BK197" s="135">
        <f t="shared" si="49"/>
        <v>219040</v>
      </c>
      <c r="BL197" s="14" t="s">
        <v>183</v>
      </c>
      <c r="BM197" s="134" t="s">
        <v>337</v>
      </c>
    </row>
    <row r="198" spans="2:65" s="1" customFormat="1" ht="16.5" customHeight="1">
      <c r="B198" s="122"/>
      <c r="C198" s="123">
        <v>53</v>
      </c>
      <c r="D198" s="123" t="s">
        <v>118</v>
      </c>
      <c r="E198" s="124" t="s">
        <v>338</v>
      </c>
      <c r="F198" s="125" t="s">
        <v>339</v>
      </c>
      <c r="G198" s="126" t="s">
        <v>286</v>
      </c>
      <c r="H198" s="127">
        <v>37</v>
      </c>
      <c r="I198" s="128">
        <v>125</v>
      </c>
      <c r="J198" s="128">
        <f t="shared" si="40"/>
        <v>4625</v>
      </c>
      <c r="K198" s="129"/>
      <c r="L198" s="26"/>
      <c r="M198" s="130" t="s">
        <v>0</v>
      </c>
      <c r="N198" s="131" t="s">
        <v>32</v>
      </c>
      <c r="O198" s="132">
        <v>0</v>
      </c>
      <c r="P198" s="132">
        <f t="shared" si="41"/>
        <v>0</v>
      </c>
      <c r="Q198" s="132">
        <v>0</v>
      </c>
      <c r="R198" s="132">
        <f t="shared" si="42"/>
        <v>0</v>
      </c>
      <c r="S198" s="132">
        <v>0</v>
      </c>
      <c r="T198" s="133">
        <f t="shared" si="43"/>
        <v>0</v>
      </c>
      <c r="AR198" s="134" t="s">
        <v>183</v>
      </c>
      <c r="AT198" s="134" t="s">
        <v>118</v>
      </c>
      <c r="AU198" s="134" t="s">
        <v>76</v>
      </c>
      <c r="AY198" s="14" t="s">
        <v>116</v>
      </c>
      <c r="BE198" s="135">
        <f t="shared" si="44"/>
        <v>4625</v>
      </c>
      <c r="BF198" s="135">
        <f t="shared" si="45"/>
        <v>0</v>
      </c>
      <c r="BG198" s="135">
        <f t="shared" si="46"/>
        <v>0</v>
      </c>
      <c r="BH198" s="135">
        <f t="shared" si="47"/>
        <v>0</v>
      </c>
      <c r="BI198" s="135">
        <f t="shared" si="48"/>
        <v>0</v>
      </c>
      <c r="BJ198" s="14" t="s">
        <v>74</v>
      </c>
      <c r="BK198" s="135">
        <f t="shared" si="49"/>
        <v>4625</v>
      </c>
      <c r="BL198" s="14" t="s">
        <v>183</v>
      </c>
      <c r="BM198" s="134" t="s">
        <v>340</v>
      </c>
    </row>
    <row r="199" spans="2:65" s="1" customFormat="1" ht="24.2" customHeight="1">
      <c r="B199" s="122"/>
      <c r="C199" s="123">
        <v>54</v>
      </c>
      <c r="D199" s="123" t="s">
        <v>118</v>
      </c>
      <c r="E199" s="124" t="s">
        <v>341</v>
      </c>
      <c r="F199" s="125" t="s">
        <v>342</v>
      </c>
      <c r="G199" s="126" t="s">
        <v>130</v>
      </c>
      <c r="H199" s="127">
        <f>78.25*2</f>
        <v>156.5</v>
      </c>
      <c r="I199" s="128">
        <v>527.4</v>
      </c>
      <c r="J199" s="128">
        <f t="shared" si="40"/>
        <v>82538.100000000006</v>
      </c>
      <c r="K199" s="129"/>
      <c r="L199" s="26"/>
      <c r="M199" s="130" t="s">
        <v>0</v>
      </c>
      <c r="N199" s="131" t="s">
        <v>32</v>
      </c>
      <c r="O199" s="132">
        <v>0</v>
      </c>
      <c r="P199" s="132">
        <f t="shared" si="41"/>
        <v>0</v>
      </c>
      <c r="Q199" s="132">
        <v>0</v>
      </c>
      <c r="R199" s="132">
        <f t="shared" si="42"/>
        <v>0</v>
      </c>
      <c r="S199" s="132">
        <v>0</v>
      </c>
      <c r="T199" s="133">
        <f t="shared" si="43"/>
        <v>0</v>
      </c>
      <c r="AR199" s="134" t="s">
        <v>183</v>
      </c>
      <c r="AT199" s="134" t="s">
        <v>118</v>
      </c>
      <c r="AU199" s="134" t="s">
        <v>76</v>
      </c>
      <c r="AY199" s="14" t="s">
        <v>116</v>
      </c>
      <c r="BE199" s="135">
        <f t="shared" si="44"/>
        <v>82538.100000000006</v>
      </c>
      <c r="BF199" s="135">
        <f t="shared" si="45"/>
        <v>0</v>
      </c>
      <c r="BG199" s="135">
        <f t="shared" si="46"/>
        <v>0</v>
      </c>
      <c r="BH199" s="135">
        <f t="shared" si="47"/>
        <v>0</v>
      </c>
      <c r="BI199" s="135">
        <f t="shared" si="48"/>
        <v>0</v>
      </c>
      <c r="BJ199" s="14" t="s">
        <v>74</v>
      </c>
      <c r="BK199" s="135">
        <f t="shared" si="49"/>
        <v>82538.100000000006</v>
      </c>
      <c r="BL199" s="14" t="s">
        <v>183</v>
      </c>
      <c r="BM199" s="134" t="s">
        <v>343</v>
      </c>
    </row>
    <row r="200" spans="2:65" s="1" customFormat="1" ht="24.2" customHeight="1">
      <c r="B200" s="122"/>
      <c r="C200" s="123">
        <v>55</v>
      </c>
      <c r="D200" s="123" t="s">
        <v>118</v>
      </c>
      <c r="E200" s="124" t="s">
        <v>344</v>
      </c>
      <c r="F200" s="125" t="s">
        <v>345</v>
      </c>
      <c r="G200" s="126" t="s">
        <v>346</v>
      </c>
      <c r="H200" s="127">
        <v>8390.3459999999995</v>
      </c>
      <c r="I200" s="128">
        <v>1.35</v>
      </c>
      <c r="J200" s="128">
        <f t="shared" si="40"/>
        <v>11326.97</v>
      </c>
      <c r="K200" s="129"/>
      <c r="L200" s="26"/>
      <c r="M200" s="130" t="s">
        <v>0</v>
      </c>
      <c r="N200" s="131" t="s">
        <v>32</v>
      </c>
      <c r="O200" s="132">
        <v>0</v>
      </c>
      <c r="P200" s="132">
        <f t="shared" si="41"/>
        <v>0</v>
      </c>
      <c r="Q200" s="132">
        <v>0</v>
      </c>
      <c r="R200" s="132">
        <f t="shared" si="42"/>
        <v>0</v>
      </c>
      <c r="S200" s="132">
        <v>0</v>
      </c>
      <c r="T200" s="133">
        <f t="shared" si="43"/>
        <v>0</v>
      </c>
      <c r="AR200" s="134" t="s">
        <v>183</v>
      </c>
      <c r="AT200" s="134" t="s">
        <v>118</v>
      </c>
      <c r="AU200" s="134" t="s">
        <v>76</v>
      </c>
      <c r="AY200" s="14" t="s">
        <v>116</v>
      </c>
      <c r="BE200" s="135">
        <f t="shared" si="44"/>
        <v>11326.97</v>
      </c>
      <c r="BF200" s="135">
        <f t="shared" si="45"/>
        <v>0</v>
      </c>
      <c r="BG200" s="135">
        <f t="shared" si="46"/>
        <v>0</v>
      </c>
      <c r="BH200" s="135">
        <f t="shared" si="47"/>
        <v>0</v>
      </c>
      <c r="BI200" s="135">
        <f t="shared" si="48"/>
        <v>0</v>
      </c>
      <c r="BJ200" s="14" t="s">
        <v>74</v>
      </c>
      <c r="BK200" s="135">
        <f t="shared" si="49"/>
        <v>11326.97</v>
      </c>
      <c r="BL200" s="14" t="s">
        <v>183</v>
      </c>
      <c r="BM200" s="134" t="s">
        <v>347</v>
      </c>
    </row>
    <row r="201" spans="2:65" s="11" customFormat="1" ht="22.9" customHeight="1">
      <c r="B201" s="111"/>
      <c r="D201" s="112" t="s">
        <v>66</v>
      </c>
      <c r="E201" s="120" t="s">
        <v>348</v>
      </c>
      <c r="F201" s="120" t="s">
        <v>349</v>
      </c>
      <c r="J201" s="121">
        <f>BK201</f>
        <v>71607.5</v>
      </c>
      <c r="L201" s="111"/>
      <c r="M201" s="115"/>
      <c r="P201" s="116">
        <f>SUM(P202:P206)</f>
        <v>0</v>
      </c>
      <c r="R201" s="116">
        <f>SUM(R202:R206)</f>
        <v>0</v>
      </c>
      <c r="T201" s="117">
        <f>SUM(T202:T206)</f>
        <v>0</v>
      </c>
      <c r="AR201" s="112" t="s">
        <v>76</v>
      </c>
      <c r="AT201" s="118" t="s">
        <v>66</v>
      </c>
      <c r="AU201" s="118" t="s">
        <v>74</v>
      </c>
      <c r="AY201" s="112" t="s">
        <v>116</v>
      </c>
      <c r="BK201" s="119">
        <f>SUM(BK202:BK206)</f>
        <v>71607.5</v>
      </c>
    </row>
    <row r="202" spans="2:65" s="1" customFormat="1" ht="24.2" customHeight="1">
      <c r="B202" s="122"/>
      <c r="C202" s="123">
        <v>56</v>
      </c>
      <c r="D202" s="123" t="s">
        <v>118</v>
      </c>
      <c r="E202" s="124" t="s">
        <v>351</v>
      </c>
      <c r="F202" s="125" t="s">
        <v>352</v>
      </c>
      <c r="G202" s="126" t="s">
        <v>350</v>
      </c>
      <c r="H202" s="127">
        <v>1</v>
      </c>
      <c r="I202" s="128">
        <v>16000</v>
      </c>
      <c r="J202" s="128">
        <f>ROUND(I202*H202,2)</f>
        <v>16000</v>
      </c>
      <c r="K202" s="129"/>
      <c r="L202" s="26"/>
      <c r="M202" s="130" t="s">
        <v>0</v>
      </c>
      <c r="N202" s="131" t="s">
        <v>32</v>
      </c>
      <c r="O202" s="132">
        <v>0</v>
      </c>
      <c r="P202" s="132">
        <f>O202*H202</f>
        <v>0</v>
      </c>
      <c r="Q202" s="132">
        <v>0</v>
      </c>
      <c r="R202" s="132">
        <f>Q202*H202</f>
        <v>0</v>
      </c>
      <c r="S202" s="132">
        <v>0</v>
      </c>
      <c r="T202" s="133">
        <f>S202*H202</f>
        <v>0</v>
      </c>
      <c r="AR202" s="134" t="s">
        <v>183</v>
      </c>
      <c r="AT202" s="134" t="s">
        <v>118</v>
      </c>
      <c r="AU202" s="134" t="s">
        <v>76</v>
      </c>
      <c r="AY202" s="14" t="s">
        <v>116</v>
      </c>
      <c r="BE202" s="135">
        <f>IF(N202="základní",J202,0)</f>
        <v>16000</v>
      </c>
      <c r="BF202" s="135">
        <f>IF(N202="snížená",J202,0)</f>
        <v>0</v>
      </c>
      <c r="BG202" s="135">
        <f>IF(N202="zákl. přenesená",J202,0)</f>
        <v>0</v>
      </c>
      <c r="BH202" s="135">
        <f>IF(N202="sníž. přenesená",J202,0)</f>
        <v>0</v>
      </c>
      <c r="BI202" s="135">
        <f>IF(N202="nulová",J202,0)</f>
        <v>0</v>
      </c>
      <c r="BJ202" s="14" t="s">
        <v>74</v>
      </c>
      <c r="BK202" s="135">
        <f>ROUND(I202*H202,2)</f>
        <v>16000</v>
      </c>
      <c r="BL202" s="14" t="s">
        <v>183</v>
      </c>
      <c r="BM202" s="134" t="s">
        <v>353</v>
      </c>
    </row>
    <row r="203" spans="2:65" s="1" customFormat="1" ht="21.75" customHeight="1">
      <c r="B203" s="122"/>
      <c r="C203" s="123">
        <v>57</v>
      </c>
      <c r="D203" s="123" t="s">
        <v>118</v>
      </c>
      <c r="E203" s="124" t="s">
        <v>354</v>
      </c>
      <c r="F203" s="125" t="s">
        <v>355</v>
      </c>
      <c r="G203" s="126" t="s">
        <v>121</v>
      </c>
      <c r="H203" s="127">
        <f>(3.6+2.37+1.5+15.72+36.25-1.31-1.31+19.45-4)*1.81*1.15</f>
        <v>150.43000499999997</v>
      </c>
      <c r="I203" s="128">
        <v>125</v>
      </c>
      <c r="J203" s="128">
        <f>ROUND(I203*H203,2)</f>
        <v>18803.75</v>
      </c>
      <c r="K203" s="129"/>
      <c r="L203" s="26"/>
      <c r="M203" s="130" t="s">
        <v>0</v>
      </c>
      <c r="N203" s="131" t="s">
        <v>32</v>
      </c>
      <c r="O203" s="132">
        <v>0</v>
      </c>
      <c r="P203" s="132">
        <f>O203*H203</f>
        <v>0</v>
      </c>
      <c r="Q203" s="132">
        <v>0</v>
      </c>
      <c r="R203" s="132">
        <f>Q203*H203</f>
        <v>0</v>
      </c>
      <c r="S203" s="132">
        <v>0</v>
      </c>
      <c r="T203" s="133">
        <f>S203*H203</f>
        <v>0</v>
      </c>
      <c r="AR203" s="134" t="s">
        <v>183</v>
      </c>
      <c r="AT203" s="134" t="s">
        <v>118</v>
      </c>
      <c r="AU203" s="134" t="s">
        <v>76</v>
      </c>
      <c r="AY203" s="14" t="s">
        <v>116</v>
      </c>
      <c r="BE203" s="135">
        <f>IF(N203="základní",J203,0)</f>
        <v>18803.75</v>
      </c>
      <c r="BF203" s="135">
        <f>IF(N203="snížená",J203,0)</f>
        <v>0</v>
      </c>
      <c r="BG203" s="135">
        <f>IF(N203="zákl. přenesená",J203,0)</f>
        <v>0</v>
      </c>
      <c r="BH203" s="135">
        <f>IF(N203="sníž. přenesená",J203,0)</f>
        <v>0</v>
      </c>
      <c r="BI203" s="135">
        <f>IF(N203="nulová",J203,0)</f>
        <v>0</v>
      </c>
      <c r="BJ203" s="14" t="s">
        <v>74</v>
      </c>
      <c r="BK203" s="135">
        <f>ROUND(I203*H203,2)</f>
        <v>18803.75</v>
      </c>
      <c r="BL203" s="14" t="s">
        <v>183</v>
      </c>
      <c r="BM203" s="134" t="s">
        <v>356</v>
      </c>
    </row>
    <row r="204" spans="2:65" s="1" customFormat="1" ht="16.5" customHeight="1">
      <c r="B204" s="122"/>
      <c r="C204" s="123">
        <v>58</v>
      </c>
      <c r="D204" s="123" t="s">
        <v>118</v>
      </c>
      <c r="E204" s="124" t="s">
        <v>357</v>
      </c>
      <c r="F204" s="125" t="s">
        <v>358</v>
      </c>
      <c r="G204" s="126" t="s">
        <v>121</v>
      </c>
      <c r="H204" s="127">
        <v>150.43</v>
      </c>
      <c r="I204" s="128">
        <v>125</v>
      </c>
      <c r="J204" s="128">
        <f>ROUND(I204*H204,2)</f>
        <v>18803.75</v>
      </c>
      <c r="K204" s="129"/>
      <c r="L204" s="26"/>
      <c r="M204" s="130" t="s">
        <v>0</v>
      </c>
      <c r="N204" s="131" t="s">
        <v>32</v>
      </c>
      <c r="O204" s="132">
        <v>0</v>
      </c>
      <c r="P204" s="132">
        <f>O204*H204</f>
        <v>0</v>
      </c>
      <c r="Q204" s="132">
        <v>0</v>
      </c>
      <c r="R204" s="132">
        <f>Q204*H204</f>
        <v>0</v>
      </c>
      <c r="S204" s="132">
        <v>0</v>
      </c>
      <c r="T204" s="133">
        <f>S204*H204</f>
        <v>0</v>
      </c>
      <c r="AR204" s="134" t="s">
        <v>183</v>
      </c>
      <c r="AT204" s="134" t="s">
        <v>118</v>
      </c>
      <c r="AU204" s="134" t="s">
        <v>76</v>
      </c>
      <c r="AY204" s="14" t="s">
        <v>116</v>
      </c>
      <c r="BE204" s="135">
        <f>IF(N204="základní",J204,0)</f>
        <v>18803.75</v>
      </c>
      <c r="BF204" s="135">
        <f>IF(N204="snížená",J204,0)</f>
        <v>0</v>
      </c>
      <c r="BG204" s="135">
        <f>IF(N204="zákl. přenesená",J204,0)</f>
        <v>0</v>
      </c>
      <c r="BH204" s="135">
        <f>IF(N204="sníž. přenesená",J204,0)</f>
        <v>0</v>
      </c>
      <c r="BI204" s="135">
        <f>IF(N204="nulová",J204,0)</f>
        <v>0</v>
      </c>
      <c r="BJ204" s="14" t="s">
        <v>74</v>
      </c>
      <c r="BK204" s="135">
        <f>ROUND(I204*H204,2)</f>
        <v>18803.75</v>
      </c>
      <c r="BL204" s="14" t="s">
        <v>183</v>
      </c>
      <c r="BM204" s="134" t="s">
        <v>359</v>
      </c>
    </row>
    <row r="205" spans="2:65" s="1" customFormat="1" ht="16.5" customHeight="1">
      <c r="B205" s="122"/>
      <c r="C205" s="123">
        <v>59</v>
      </c>
      <c r="D205" s="123" t="s">
        <v>118</v>
      </c>
      <c r="E205" s="124" t="s">
        <v>360</v>
      </c>
      <c r="F205" s="125" t="s">
        <v>361</v>
      </c>
      <c r="G205" s="126" t="s">
        <v>350</v>
      </c>
      <c r="H205" s="127">
        <v>1</v>
      </c>
      <c r="I205" s="128">
        <v>10000</v>
      </c>
      <c r="J205" s="128">
        <f>ROUND(I205*H205,2)</f>
        <v>10000</v>
      </c>
      <c r="K205" s="129"/>
      <c r="L205" s="26"/>
      <c r="M205" s="130" t="s">
        <v>0</v>
      </c>
      <c r="N205" s="131" t="s">
        <v>32</v>
      </c>
      <c r="O205" s="132">
        <v>0</v>
      </c>
      <c r="P205" s="132">
        <f>O205*H205</f>
        <v>0</v>
      </c>
      <c r="Q205" s="132">
        <v>0</v>
      </c>
      <c r="R205" s="132">
        <f>Q205*H205</f>
        <v>0</v>
      </c>
      <c r="S205" s="132">
        <v>0</v>
      </c>
      <c r="T205" s="133">
        <f>S205*H205</f>
        <v>0</v>
      </c>
      <c r="AR205" s="134" t="s">
        <v>183</v>
      </c>
      <c r="AT205" s="134" t="s">
        <v>118</v>
      </c>
      <c r="AU205" s="134" t="s">
        <v>76</v>
      </c>
      <c r="AY205" s="14" t="s">
        <v>116</v>
      </c>
      <c r="BE205" s="135">
        <f>IF(N205="základní",J205,0)</f>
        <v>10000</v>
      </c>
      <c r="BF205" s="135">
        <f>IF(N205="snížená",J205,0)</f>
        <v>0</v>
      </c>
      <c r="BG205" s="135">
        <f>IF(N205="zákl. přenesená",J205,0)</f>
        <v>0</v>
      </c>
      <c r="BH205" s="135">
        <f>IF(N205="sníž. přenesená",J205,0)</f>
        <v>0</v>
      </c>
      <c r="BI205" s="135">
        <f>IF(N205="nulová",J205,0)</f>
        <v>0</v>
      </c>
      <c r="BJ205" s="14" t="s">
        <v>74</v>
      </c>
      <c r="BK205" s="135">
        <f>ROUND(I205*H205,2)</f>
        <v>10000</v>
      </c>
      <c r="BL205" s="14" t="s">
        <v>183</v>
      </c>
      <c r="BM205" s="134" t="s">
        <v>362</v>
      </c>
    </row>
    <row r="206" spans="2:65" s="1" customFormat="1" ht="16.5" customHeight="1">
      <c r="B206" s="122"/>
      <c r="C206" s="123">
        <v>60</v>
      </c>
      <c r="D206" s="123" t="s">
        <v>118</v>
      </c>
      <c r="E206" s="124" t="s">
        <v>363</v>
      </c>
      <c r="F206" s="125" t="s">
        <v>364</v>
      </c>
      <c r="G206" s="126" t="s">
        <v>350</v>
      </c>
      <c r="H206" s="127">
        <v>1</v>
      </c>
      <c r="I206" s="128">
        <v>8000</v>
      </c>
      <c r="J206" s="128">
        <f>ROUND(I206*H206,2)</f>
        <v>8000</v>
      </c>
      <c r="K206" s="129"/>
      <c r="L206" s="26"/>
      <c r="M206" s="130" t="s">
        <v>0</v>
      </c>
      <c r="N206" s="131" t="s">
        <v>32</v>
      </c>
      <c r="O206" s="132">
        <v>0</v>
      </c>
      <c r="P206" s="132">
        <f>O206*H206</f>
        <v>0</v>
      </c>
      <c r="Q206" s="132">
        <v>0</v>
      </c>
      <c r="R206" s="132">
        <f>Q206*H206</f>
        <v>0</v>
      </c>
      <c r="S206" s="132">
        <v>0</v>
      </c>
      <c r="T206" s="133">
        <f>S206*H206</f>
        <v>0</v>
      </c>
      <c r="AR206" s="134" t="s">
        <v>183</v>
      </c>
      <c r="AT206" s="134" t="s">
        <v>118</v>
      </c>
      <c r="AU206" s="134" t="s">
        <v>76</v>
      </c>
      <c r="AY206" s="14" t="s">
        <v>116</v>
      </c>
      <c r="BE206" s="135">
        <f>IF(N206="základní",J206,0)</f>
        <v>8000</v>
      </c>
      <c r="BF206" s="135">
        <f>IF(N206="snížená",J206,0)</f>
        <v>0</v>
      </c>
      <c r="BG206" s="135">
        <f>IF(N206="zákl. přenesená",J206,0)</f>
        <v>0</v>
      </c>
      <c r="BH206" s="135">
        <f>IF(N206="sníž. přenesená",J206,0)</f>
        <v>0</v>
      </c>
      <c r="BI206" s="135">
        <f>IF(N206="nulová",J206,0)</f>
        <v>0</v>
      </c>
      <c r="BJ206" s="14" t="s">
        <v>74</v>
      </c>
      <c r="BK206" s="135">
        <f>ROUND(I206*H206,2)</f>
        <v>8000</v>
      </c>
      <c r="BL206" s="14" t="s">
        <v>183</v>
      </c>
      <c r="BM206" s="134" t="s">
        <v>365</v>
      </c>
    </row>
    <row r="207" spans="2:65" s="11" customFormat="1" ht="25.9" customHeight="1">
      <c r="B207" s="111"/>
      <c r="D207" s="112" t="s">
        <v>66</v>
      </c>
      <c r="E207" s="113" t="s">
        <v>366</v>
      </c>
      <c r="F207" s="113" t="s">
        <v>367</v>
      </c>
      <c r="J207" s="114">
        <f>BK207</f>
        <v>80000</v>
      </c>
      <c r="L207" s="111"/>
      <c r="M207" s="115"/>
      <c r="P207" s="116">
        <f>P208+P210+P212+P214</f>
        <v>0</v>
      </c>
      <c r="R207" s="116">
        <f>R208+R210+R212+R214</f>
        <v>0</v>
      </c>
      <c r="T207" s="117">
        <f>T208+T210+T212+T214</f>
        <v>0</v>
      </c>
      <c r="AR207" s="112" t="s">
        <v>135</v>
      </c>
      <c r="AT207" s="118" t="s">
        <v>66</v>
      </c>
      <c r="AU207" s="118" t="s">
        <v>67</v>
      </c>
      <c r="AY207" s="112" t="s">
        <v>116</v>
      </c>
      <c r="BK207" s="119">
        <f>BK208+BK210+BK212+BK214</f>
        <v>80000</v>
      </c>
    </row>
    <row r="208" spans="2:65" s="11" customFormat="1" ht="22.9" customHeight="1">
      <c r="B208" s="111"/>
      <c r="D208" s="112" t="s">
        <v>66</v>
      </c>
      <c r="E208" s="120" t="s">
        <v>368</v>
      </c>
      <c r="F208" s="120" t="s">
        <v>369</v>
      </c>
      <c r="J208" s="121">
        <f>BK208</f>
        <v>15000</v>
      </c>
      <c r="L208" s="111"/>
      <c r="M208" s="115"/>
      <c r="P208" s="116">
        <f>P209</f>
        <v>0</v>
      </c>
      <c r="R208" s="116">
        <f>R209</f>
        <v>0</v>
      </c>
      <c r="T208" s="117">
        <f>T209</f>
        <v>0</v>
      </c>
      <c r="AR208" s="112" t="s">
        <v>135</v>
      </c>
      <c r="AT208" s="118" t="s">
        <v>66</v>
      </c>
      <c r="AU208" s="118" t="s">
        <v>74</v>
      </c>
      <c r="AY208" s="112" t="s">
        <v>116</v>
      </c>
      <c r="BK208" s="119">
        <f>BK209</f>
        <v>15000</v>
      </c>
    </row>
    <row r="209" spans="2:65" s="1" customFormat="1" ht="21.75" customHeight="1">
      <c r="B209" s="122"/>
      <c r="C209" s="123">
        <v>61</v>
      </c>
      <c r="D209" s="123" t="s">
        <v>118</v>
      </c>
      <c r="E209" s="124" t="s">
        <v>370</v>
      </c>
      <c r="F209" s="125" t="s">
        <v>371</v>
      </c>
      <c r="G209" s="126" t="s">
        <v>350</v>
      </c>
      <c r="H209" s="127">
        <v>1</v>
      </c>
      <c r="I209" s="128">
        <v>15000</v>
      </c>
      <c r="J209" s="128">
        <f>ROUND(I209*H209,2)</f>
        <v>15000</v>
      </c>
      <c r="K209" s="129"/>
      <c r="L209" s="26"/>
      <c r="M209" s="130" t="s">
        <v>0</v>
      </c>
      <c r="N209" s="131" t="s">
        <v>32</v>
      </c>
      <c r="O209" s="132">
        <v>0</v>
      </c>
      <c r="P209" s="132">
        <f>O209*H209</f>
        <v>0</v>
      </c>
      <c r="Q209" s="132">
        <v>0</v>
      </c>
      <c r="R209" s="132">
        <f>Q209*H209</f>
        <v>0</v>
      </c>
      <c r="S209" s="132">
        <v>0</v>
      </c>
      <c r="T209" s="133">
        <f>S209*H209</f>
        <v>0</v>
      </c>
      <c r="AR209" s="134" t="s">
        <v>372</v>
      </c>
      <c r="AT209" s="134" t="s">
        <v>118</v>
      </c>
      <c r="AU209" s="134" t="s">
        <v>76</v>
      </c>
      <c r="AY209" s="14" t="s">
        <v>116</v>
      </c>
      <c r="BE209" s="135">
        <f>IF(N209="základní",J209,0)</f>
        <v>15000</v>
      </c>
      <c r="BF209" s="135">
        <f>IF(N209="snížená",J209,0)</f>
        <v>0</v>
      </c>
      <c r="BG209" s="135">
        <f>IF(N209="zákl. přenesená",J209,0)</f>
        <v>0</v>
      </c>
      <c r="BH209" s="135">
        <f>IF(N209="sníž. přenesená",J209,0)</f>
        <v>0</v>
      </c>
      <c r="BI209" s="135">
        <f>IF(N209="nulová",J209,0)</f>
        <v>0</v>
      </c>
      <c r="BJ209" s="14" t="s">
        <v>74</v>
      </c>
      <c r="BK209" s="135">
        <f>ROUND(I209*H209,2)</f>
        <v>15000</v>
      </c>
      <c r="BL209" s="14" t="s">
        <v>372</v>
      </c>
      <c r="BM209" s="134" t="s">
        <v>373</v>
      </c>
    </row>
    <row r="210" spans="2:65" s="11" customFormat="1" ht="22.9" customHeight="1">
      <c r="B210" s="111"/>
      <c r="D210" s="112" t="s">
        <v>66</v>
      </c>
      <c r="E210" s="120" t="s">
        <v>374</v>
      </c>
      <c r="F210" s="120" t="s">
        <v>375</v>
      </c>
      <c r="J210" s="121">
        <f>BK210</f>
        <v>25000</v>
      </c>
      <c r="L210" s="111"/>
      <c r="M210" s="115"/>
      <c r="P210" s="116">
        <f>P211</f>
        <v>0</v>
      </c>
      <c r="R210" s="116">
        <f>R211</f>
        <v>0</v>
      </c>
      <c r="T210" s="117">
        <f>T211</f>
        <v>0</v>
      </c>
      <c r="AR210" s="112" t="s">
        <v>135</v>
      </c>
      <c r="AT210" s="118" t="s">
        <v>66</v>
      </c>
      <c r="AU210" s="118" t="s">
        <v>74</v>
      </c>
      <c r="AY210" s="112" t="s">
        <v>116</v>
      </c>
      <c r="BK210" s="119">
        <f>BK211</f>
        <v>25000</v>
      </c>
    </row>
    <row r="211" spans="2:65" s="1" customFormat="1" ht="16.5" customHeight="1">
      <c r="B211" s="122"/>
      <c r="C211" s="123">
        <v>62</v>
      </c>
      <c r="D211" s="123" t="s">
        <v>118</v>
      </c>
      <c r="E211" s="124" t="s">
        <v>376</v>
      </c>
      <c r="F211" s="125" t="s">
        <v>375</v>
      </c>
      <c r="G211" s="126" t="s">
        <v>350</v>
      </c>
      <c r="H211" s="127">
        <v>1</v>
      </c>
      <c r="I211" s="128">
        <v>25000</v>
      </c>
      <c r="J211" s="128">
        <f>ROUND(I211*H211,2)</f>
        <v>25000</v>
      </c>
      <c r="K211" s="129"/>
      <c r="L211" s="26"/>
      <c r="M211" s="130" t="s">
        <v>0</v>
      </c>
      <c r="N211" s="131" t="s">
        <v>32</v>
      </c>
      <c r="O211" s="132">
        <v>0</v>
      </c>
      <c r="P211" s="132">
        <f>O211*H211</f>
        <v>0</v>
      </c>
      <c r="Q211" s="132">
        <v>0</v>
      </c>
      <c r="R211" s="132">
        <f>Q211*H211</f>
        <v>0</v>
      </c>
      <c r="S211" s="132">
        <v>0</v>
      </c>
      <c r="T211" s="133">
        <f>S211*H211</f>
        <v>0</v>
      </c>
      <c r="AR211" s="134" t="s">
        <v>372</v>
      </c>
      <c r="AT211" s="134" t="s">
        <v>118</v>
      </c>
      <c r="AU211" s="134" t="s">
        <v>76</v>
      </c>
      <c r="AY211" s="14" t="s">
        <v>116</v>
      </c>
      <c r="BE211" s="135">
        <f>IF(N211="základní",J211,0)</f>
        <v>25000</v>
      </c>
      <c r="BF211" s="135">
        <f>IF(N211="snížená",J211,0)</f>
        <v>0</v>
      </c>
      <c r="BG211" s="135">
        <f>IF(N211="zákl. přenesená",J211,0)</f>
        <v>0</v>
      </c>
      <c r="BH211" s="135">
        <f>IF(N211="sníž. přenesená",J211,0)</f>
        <v>0</v>
      </c>
      <c r="BI211" s="135">
        <f>IF(N211="nulová",J211,0)</f>
        <v>0</v>
      </c>
      <c r="BJ211" s="14" t="s">
        <v>74</v>
      </c>
      <c r="BK211" s="135">
        <f>ROUND(I211*H211,2)</f>
        <v>25000</v>
      </c>
      <c r="BL211" s="14" t="s">
        <v>372</v>
      </c>
      <c r="BM211" s="134" t="s">
        <v>377</v>
      </c>
    </row>
    <row r="212" spans="2:65" s="11" customFormat="1" ht="22.9" customHeight="1">
      <c r="B212" s="111"/>
      <c r="D212" s="112" t="s">
        <v>66</v>
      </c>
      <c r="E212" s="120" t="s">
        <v>378</v>
      </c>
      <c r="F212" s="120" t="s">
        <v>379</v>
      </c>
      <c r="J212" s="121">
        <f>BK212</f>
        <v>20000</v>
      </c>
      <c r="L212" s="111"/>
      <c r="M212" s="115"/>
      <c r="P212" s="116">
        <f>P213</f>
        <v>0</v>
      </c>
      <c r="R212" s="116">
        <f>R213</f>
        <v>0</v>
      </c>
      <c r="T212" s="117">
        <f>T213</f>
        <v>0</v>
      </c>
      <c r="AR212" s="112" t="s">
        <v>135</v>
      </c>
      <c r="AT212" s="118" t="s">
        <v>66</v>
      </c>
      <c r="AU212" s="118" t="s">
        <v>74</v>
      </c>
      <c r="AY212" s="112" t="s">
        <v>116</v>
      </c>
      <c r="BK212" s="119">
        <f>BK213</f>
        <v>20000</v>
      </c>
    </row>
    <row r="213" spans="2:65" s="1" customFormat="1" ht="16.5" customHeight="1">
      <c r="B213" s="122"/>
      <c r="C213" s="123">
        <v>63</v>
      </c>
      <c r="D213" s="123" t="s">
        <v>118</v>
      </c>
      <c r="E213" s="124" t="s">
        <v>380</v>
      </c>
      <c r="F213" s="125" t="s">
        <v>379</v>
      </c>
      <c r="G213" s="126" t="s">
        <v>350</v>
      </c>
      <c r="H213" s="127">
        <v>1</v>
      </c>
      <c r="I213" s="128">
        <v>20000</v>
      </c>
      <c r="J213" s="128">
        <f>ROUND(I213*H213,2)</f>
        <v>20000</v>
      </c>
      <c r="K213" s="129"/>
      <c r="L213" s="26"/>
      <c r="M213" s="130" t="s">
        <v>0</v>
      </c>
      <c r="N213" s="131" t="s">
        <v>32</v>
      </c>
      <c r="O213" s="132">
        <v>0</v>
      </c>
      <c r="P213" s="132">
        <f>O213*H213</f>
        <v>0</v>
      </c>
      <c r="Q213" s="132">
        <v>0</v>
      </c>
      <c r="R213" s="132">
        <f>Q213*H213</f>
        <v>0</v>
      </c>
      <c r="S213" s="132">
        <v>0</v>
      </c>
      <c r="T213" s="133">
        <f>S213*H213</f>
        <v>0</v>
      </c>
      <c r="AR213" s="134" t="s">
        <v>372</v>
      </c>
      <c r="AT213" s="134" t="s">
        <v>118</v>
      </c>
      <c r="AU213" s="134" t="s">
        <v>76</v>
      </c>
      <c r="AY213" s="14" t="s">
        <v>116</v>
      </c>
      <c r="BE213" s="135">
        <f>IF(N213="základní",J213,0)</f>
        <v>20000</v>
      </c>
      <c r="BF213" s="135">
        <f>IF(N213="snížená",J213,0)</f>
        <v>0</v>
      </c>
      <c r="BG213" s="135">
        <f>IF(N213="zákl. přenesená",J213,0)</f>
        <v>0</v>
      </c>
      <c r="BH213" s="135">
        <f>IF(N213="sníž. přenesená",J213,0)</f>
        <v>0</v>
      </c>
      <c r="BI213" s="135">
        <f>IF(N213="nulová",J213,0)</f>
        <v>0</v>
      </c>
      <c r="BJ213" s="14" t="s">
        <v>74</v>
      </c>
      <c r="BK213" s="135">
        <f>ROUND(I213*H213,2)</f>
        <v>20000</v>
      </c>
      <c r="BL213" s="14" t="s">
        <v>372</v>
      </c>
      <c r="BM213" s="134" t="s">
        <v>381</v>
      </c>
    </row>
    <row r="214" spans="2:65" s="11" customFormat="1" ht="22.9" customHeight="1">
      <c r="B214" s="111"/>
      <c r="D214" s="112" t="s">
        <v>66</v>
      </c>
      <c r="E214" s="120" t="s">
        <v>382</v>
      </c>
      <c r="F214" s="120" t="s">
        <v>383</v>
      </c>
      <c r="J214" s="121">
        <f>BK214</f>
        <v>20000</v>
      </c>
      <c r="L214" s="111"/>
      <c r="M214" s="115"/>
      <c r="P214" s="116">
        <f>P215</f>
        <v>0</v>
      </c>
      <c r="R214" s="116">
        <f>R215</f>
        <v>0</v>
      </c>
      <c r="T214" s="117">
        <f>T215</f>
        <v>0</v>
      </c>
      <c r="AR214" s="112" t="s">
        <v>135</v>
      </c>
      <c r="AT214" s="118" t="s">
        <v>66</v>
      </c>
      <c r="AU214" s="118" t="s">
        <v>74</v>
      </c>
      <c r="AY214" s="112" t="s">
        <v>116</v>
      </c>
      <c r="BK214" s="119">
        <f>BK215</f>
        <v>20000</v>
      </c>
    </row>
    <row r="215" spans="2:65" s="1" customFormat="1" ht="16.5" customHeight="1">
      <c r="B215" s="122"/>
      <c r="C215" s="123">
        <v>64</v>
      </c>
      <c r="D215" s="123" t="s">
        <v>118</v>
      </c>
      <c r="E215" s="124" t="s">
        <v>384</v>
      </c>
      <c r="F215" s="125" t="s">
        <v>385</v>
      </c>
      <c r="G215" s="126" t="s">
        <v>350</v>
      </c>
      <c r="H215" s="127">
        <v>1</v>
      </c>
      <c r="I215" s="128">
        <v>20000</v>
      </c>
      <c r="J215" s="128">
        <f>ROUND(I215*H215,2)</f>
        <v>20000</v>
      </c>
      <c r="K215" s="129"/>
      <c r="L215" s="26"/>
      <c r="M215" s="152" t="s">
        <v>0</v>
      </c>
      <c r="N215" s="153" t="s">
        <v>32</v>
      </c>
      <c r="O215" s="154">
        <v>0</v>
      </c>
      <c r="P215" s="154">
        <f>O215*H215</f>
        <v>0</v>
      </c>
      <c r="Q215" s="154">
        <v>0</v>
      </c>
      <c r="R215" s="154">
        <f>Q215*H215</f>
        <v>0</v>
      </c>
      <c r="S215" s="154">
        <v>0</v>
      </c>
      <c r="T215" s="155">
        <f>S215*H215</f>
        <v>0</v>
      </c>
      <c r="AR215" s="134" t="s">
        <v>372</v>
      </c>
      <c r="AT215" s="134" t="s">
        <v>118</v>
      </c>
      <c r="AU215" s="134" t="s">
        <v>76</v>
      </c>
      <c r="AY215" s="14" t="s">
        <v>116</v>
      </c>
      <c r="BE215" s="135">
        <f>IF(N215="základní",J215,0)</f>
        <v>20000</v>
      </c>
      <c r="BF215" s="135">
        <f>IF(N215="snížená",J215,0)</f>
        <v>0</v>
      </c>
      <c r="BG215" s="135">
        <f>IF(N215="zákl. přenesená",J215,0)</f>
        <v>0</v>
      </c>
      <c r="BH215" s="135">
        <f>IF(N215="sníž. přenesená",J215,0)</f>
        <v>0</v>
      </c>
      <c r="BI215" s="135">
        <f>IF(N215="nulová",J215,0)</f>
        <v>0</v>
      </c>
      <c r="BJ215" s="14" t="s">
        <v>74</v>
      </c>
      <c r="BK215" s="135">
        <f>ROUND(I215*H215,2)</f>
        <v>20000</v>
      </c>
      <c r="BL215" s="14" t="s">
        <v>372</v>
      </c>
      <c r="BM215" s="134" t="s">
        <v>386</v>
      </c>
    </row>
    <row r="216" spans="2:65" s="1" customFormat="1" ht="6.95" customHeight="1">
      <c r="B216" s="38"/>
      <c r="C216" s="39"/>
      <c r="D216" s="39"/>
      <c r="E216" s="39"/>
      <c r="F216" s="39"/>
      <c r="G216" s="39"/>
      <c r="H216" s="39"/>
      <c r="I216" s="39"/>
      <c r="J216" s="39"/>
      <c r="K216" s="39"/>
      <c r="L216" s="26"/>
    </row>
  </sheetData>
  <autoFilter ref="C132:K215" xr:uid="{00000000-0009-0000-0000-000001000000}"/>
  <mergeCells count="9">
    <mergeCell ref="L2:V2"/>
    <mergeCell ref="E87:H87"/>
    <mergeCell ref="E123:H123"/>
    <mergeCell ref="E125:H12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SO - 01 - Tenisový kurt</vt:lpstr>
      <vt:lpstr>'Rekapitulace stavby'!Názvy_tisku</vt:lpstr>
      <vt:lpstr>'SO - 01 - Tenisový kurt'!Názvy_tisku</vt:lpstr>
      <vt:lpstr>'Rekapitulace stavby'!Oblast_tisku</vt:lpstr>
      <vt:lpstr>'SO - 01 - Tenisový kurt'!Oblast_tisku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LAPTOP-LUF4KI7R\František</dc:creator>
  <cp:lastModifiedBy>Daniel Fadrhonc</cp:lastModifiedBy>
  <dcterms:created xsi:type="dcterms:W3CDTF">2021-10-06T13:18:17Z</dcterms:created>
  <dcterms:modified xsi:type="dcterms:W3CDTF">2023-11-25T21:58:17Z</dcterms:modified>
</cp:coreProperties>
</file>